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5135" windowHeight="11700" tabRatio="597" activeTab="3"/>
  </bookViews>
  <sheets>
    <sheet name="Sheet1" sheetId="1" r:id="rId1"/>
    <sheet name="Sheet2" sheetId="2" r:id="rId2"/>
    <sheet name="Sheet3" sheetId="3" r:id="rId3"/>
    <sheet name="Sheet4" sheetId="10" r:id="rId4"/>
    <sheet name="Sheet5" sheetId="11" r:id="rId5"/>
    <sheet name="Sheet6" sheetId="6" r:id="rId6"/>
    <sheet name="Sheet7" sheetId="7" r:id="rId7"/>
    <sheet name="Sheet8" sheetId="8" r:id="rId8"/>
    <sheet name="Sheet9" sheetId="9" r:id="rId9"/>
    <sheet name="Sheet10" sheetId="12" r:id="rId10"/>
  </sheets>
  <definedNames>
    <definedName name="_xlnm.Print_Area" localSheetId="3">Sheet4!$A$1:$AD$40</definedName>
  </definedNames>
  <calcPr calcId="124519"/>
</workbook>
</file>

<file path=xl/calcChain.xml><?xml version="1.0" encoding="utf-8"?>
<calcChain xmlns="http://schemas.openxmlformats.org/spreadsheetml/2006/main">
  <c r="P19" i="1"/>
  <c r="P30" i="2"/>
  <c r="B8" i="12"/>
  <c r="C8"/>
  <c r="D8"/>
  <c r="E8"/>
  <c r="F8"/>
  <c r="H8"/>
  <c r="I8"/>
  <c r="J8"/>
  <c r="K8"/>
  <c r="L8"/>
  <c r="M8"/>
  <c r="B9"/>
  <c r="C9"/>
  <c r="D9"/>
  <c r="E9"/>
  <c r="F9"/>
  <c r="G9"/>
  <c r="H9"/>
  <c r="I9"/>
  <c r="J9"/>
  <c r="K9"/>
  <c r="L9"/>
  <c r="M9"/>
  <c r="B10"/>
  <c r="C10"/>
  <c r="D10"/>
  <c r="E10"/>
  <c r="F10"/>
  <c r="G10"/>
  <c r="H10"/>
  <c r="I10"/>
  <c r="M10"/>
  <c r="B11"/>
  <c r="C11"/>
  <c r="D11"/>
  <c r="E11"/>
  <c r="F11"/>
  <c r="G11"/>
  <c r="H11"/>
  <c r="I11"/>
  <c r="M11"/>
  <c r="B12"/>
  <c r="C12"/>
  <c r="D12"/>
  <c r="E12"/>
  <c r="F12"/>
  <c r="G12"/>
  <c r="H12"/>
  <c r="I12"/>
  <c r="J12"/>
  <c r="K12"/>
  <c r="L12"/>
  <c r="M12"/>
  <c r="C13"/>
  <c r="D13"/>
  <c r="F13"/>
  <c r="G13"/>
  <c r="H13"/>
  <c r="J13"/>
  <c r="L13"/>
  <c r="M13"/>
  <c r="B14"/>
  <c r="C14"/>
  <c r="D14"/>
  <c r="E14"/>
  <c r="F14"/>
  <c r="G14"/>
  <c r="H14"/>
  <c r="I14"/>
  <c r="J14"/>
  <c r="K14"/>
  <c r="L14"/>
  <c r="M14"/>
  <c r="B15"/>
  <c r="C15"/>
  <c r="D15"/>
  <c r="E15"/>
  <c r="F15"/>
  <c r="G15"/>
  <c r="H15"/>
  <c r="I15"/>
  <c r="J15"/>
  <c r="K15"/>
  <c r="L15"/>
  <c r="M15"/>
  <c r="B17"/>
  <c r="C17"/>
  <c r="D17"/>
  <c r="E17"/>
  <c r="F17"/>
  <c r="G17"/>
  <c r="H17"/>
  <c r="I17"/>
  <c r="J17"/>
  <c r="K17"/>
  <c r="M17"/>
  <c r="B18"/>
  <c r="C18"/>
  <c r="D18"/>
  <c r="E18"/>
  <c r="H18"/>
  <c r="I18"/>
  <c r="J18"/>
  <c r="K18"/>
  <c r="L18"/>
  <c r="M18"/>
  <c r="B20"/>
  <c r="M20"/>
  <c r="B22"/>
  <c r="C22"/>
  <c r="D22"/>
  <c r="F22"/>
  <c r="G22"/>
  <c r="H22"/>
  <c r="I22"/>
  <c r="K22"/>
  <c r="L22"/>
  <c r="M22"/>
  <c r="B24"/>
  <c r="C24"/>
  <c r="D24"/>
  <c r="E24"/>
  <c r="F24"/>
  <c r="G24"/>
  <c r="K24"/>
  <c r="L24"/>
  <c r="M24"/>
  <c r="B25"/>
  <c r="C25"/>
  <c r="D25"/>
  <c r="E25"/>
  <c r="F25"/>
  <c r="H25"/>
  <c r="I25"/>
  <c r="J25"/>
  <c r="K25"/>
  <c r="I26"/>
  <c r="J26"/>
  <c r="K26"/>
  <c r="B27"/>
  <c r="C27"/>
  <c r="D27"/>
  <c r="E27"/>
  <c r="F27"/>
  <c r="G27"/>
  <c r="H27"/>
  <c r="I27"/>
  <c r="J27"/>
  <c r="K27"/>
  <c r="L27"/>
  <c r="M27"/>
  <c r="B28"/>
  <c r="C28"/>
  <c r="D28"/>
  <c r="E28"/>
  <c r="F28"/>
  <c r="H28"/>
  <c r="K28"/>
  <c r="C29"/>
  <c r="D29"/>
  <c r="E29"/>
  <c r="F29"/>
  <c r="G29"/>
  <c r="H29"/>
  <c r="I29"/>
  <c r="K29"/>
  <c r="L29"/>
  <c r="M29"/>
  <c r="B31"/>
  <c r="C31"/>
  <c r="D31"/>
  <c r="E31"/>
  <c r="F31"/>
  <c r="G31"/>
  <c r="H31"/>
  <c r="I31"/>
  <c r="J31"/>
  <c r="B33"/>
  <c r="D33"/>
  <c r="E33"/>
  <c r="F33"/>
  <c r="G33"/>
  <c r="H33"/>
  <c r="I33"/>
  <c r="J33"/>
  <c r="K33"/>
  <c r="M33"/>
  <c r="B34"/>
  <c r="C34"/>
  <c r="D34"/>
  <c r="E34"/>
  <c r="F34"/>
  <c r="G34"/>
  <c r="D36"/>
  <c r="F36"/>
  <c r="I36"/>
  <c r="K36"/>
  <c r="M36"/>
  <c r="C37"/>
  <c r="F37"/>
  <c r="G37"/>
  <c r="B40"/>
  <c r="C40"/>
  <c r="D40"/>
  <c r="E40"/>
  <c r="F40"/>
  <c r="G40"/>
  <c r="H40"/>
  <c r="I40"/>
  <c r="J40"/>
  <c r="K40"/>
  <c r="L40"/>
  <c r="M40"/>
  <c r="N3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I26" i="3"/>
  <c r="N27"/>
  <c r="N28"/>
  <c r="N29"/>
  <c r="N30"/>
  <c r="N25"/>
  <c r="N26"/>
  <c r="N31" s="1"/>
  <c r="P14"/>
  <c r="N14"/>
  <c r="N15"/>
  <c r="J26"/>
  <c r="F28"/>
  <c r="F12"/>
  <c r="N12" s="1"/>
  <c r="N8" i="12" l="1"/>
  <c r="N40" s="1"/>
  <c r="F25" i="9"/>
  <c r="Y20" i="11"/>
  <c r="X20"/>
  <c r="M13" i="2"/>
  <c r="M11"/>
  <c r="L23" l="1"/>
  <c r="L16"/>
  <c r="L10"/>
  <c r="J38"/>
  <c r="J29"/>
  <c r="S31" i="11"/>
  <c r="R31"/>
  <c r="S18"/>
  <c r="R18"/>
  <c r="H32" i="2"/>
  <c r="F18"/>
  <c r="M20" i="11"/>
  <c r="L20"/>
  <c r="M9"/>
  <c r="L9"/>
  <c r="E38" i="2"/>
  <c r="I29" i="11"/>
  <c r="H29"/>
  <c r="C38" i="2"/>
  <c r="AC40" i="11"/>
  <c r="AA39"/>
  <c r="Z39"/>
  <c r="AB39" s="1"/>
  <c r="AD39" s="1"/>
  <c r="AA37"/>
  <c r="J37"/>
  <c r="Z37" s="1"/>
  <c r="AB37" s="1"/>
  <c r="AD37" s="1"/>
  <c r="Y36"/>
  <c r="X36"/>
  <c r="U36"/>
  <c r="T36"/>
  <c r="J36"/>
  <c r="G36"/>
  <c r="AA36" s="1"/>
  <c r="F36"/>
  <c r="Z36" s="1"/>
  <c r="AB36" s="1"/>
  <c r="AD36" s="1"/>
  <c r="J34"/>
  <c r="H34"/>
  <c r="G34"/>
  <c r="F34"/>
  <c r="C34"/>
  <c r="AA34" s="1"/>
  <c r="B34"/>
  <c r="Z34" s="1"/>
  <c r="AB34" s="1"/>
  <c r="AD34" s="1"/>
  <c r="Y33"/>
  <c r="X33"/>
  <c r="V33"/>
  <c r="T33"/>
  <c r="R33"/>
  <c r="Q33"/>
  <c r="P33"/>
  <c r="O33"/>
  <c r="N33"/>
  <c r="M33"/>
  <c r="L33"/>
  <c r="J33"/>
  <c r="H33"/>
  <c r="G33"/>
  <c r="F33"/>
  <c r="C33"/>
  <c r="AA33" s="1"/>
  <c r="B33"/>
  <c r="Z33" s="1"/>
  <c r="AB33" s="1"/>
  <c r="AD33" s="1"/>
  <c r="AA32"/>
  <c r="Z32"/>
  <c r="AB32" s="1"/>
  <c r="Y31"/>
  <c r="X31"/>
  <c r="Q31"/>
  <c r="P31"/>
  <c r="O31"/>
  <c r="N31"/>
  <c r="M31"/>
  <c r="L31"/>
  <c r="J31"/>
  <c r="I31"/>
  <c r="H31"/>
  <c r="G31"/>
  <c r="F31"/>
  <c r="E31"/>
  <c r="D31"/>
  <c r="C31"/>
  <c r="AA31" s="1"/>
  <c r="B31"/>
  <c r="Z31" s="1"/>
  <c r="AB31" s="1"/>
  <c r="AD31" s="1"/>
  <c r="AA30"/>
  <c r="Z30"/>
  <c r="AB30" s="1"/>
  <c r="AD30" s="1"/>
  <c r="Y29"/>
  <c r="X29"/>
  <c r="V29"/>
  <c r="T29"/>
  <c r="Q29"/>
  <c r="P29"/>
  <c r="O29"/>
  <c r="N29"/>
  <c r="M29"/>
  <c r="L29"/>
  <c r="K29"/>
  <c r="J29"/>
  <c r="G29"/>
  <c r="F29"/>
  <c r="E29"/>
  <c r="AA29" s="1"/>
  <c r="D29"/>
  <c r="Z29" s="1"/>
  <c r="AB29" s="1"/>
  <c r="AD29" s="1"/>
  <c r="U28"/>
  <c r="T28"/>
  <c r="O28"/>
  <c r="N28"/>
  <c r="J28"/>
  <c r="I28"/>
  <c r="H28"/>
  <c r="G28"/>
  <c r="F28"/>
  <c r="E28"/>
  <c r="D28"/>
  <c r="C28"/>
  <c r="AA28" s="1"/>
  <c r="B28"/>
  <c r="Z28" s="1"/>
  <c r="AB28" s="1"/>
  <c r="AD28" s="1"/>
  <c r="Y27"/>
  <c r="X27"/>
  <c r="V27"/>
  <c r="T27"/>
  <c r="S27"/>
  <c r="R27"/>
  <c r="Q27"/>
  <c r="P27"/>
  <c r="O27"/>
  <c r="N27"/>
  <c r="L27"/>
  <c r="J27"/>
  <c r="H27"/>
  <c r="G27"/>
  <c r="F27"/>
  <c r="E27"/>
  <c r="D27"/>
  <c r="C27"/>
  <c r="AA27" s="1"/>
  <c r="B27"/>
  <c r="Z27" s="1"/>
  <c r="AB27" s="1"/>
  <c r="AD27" s="1"/>
  <c r="U26"/>
  <c r="AA26" s="1"/>
  <c r="T26"/>
  <c r="Z26" s="1"/>
  <c r="AB26" s="1"/>
  <c r="AD26" s="1"/>
  <c r="U25"/>
  <c r="T25"/>
  <c r="Q25"/>
  <c r="P25"/>
  <c r="O25"/>
  <c r="N25"/>
  <c r="K25"/>
  <c r="J25"/>
  <c r="I25"/>
  <c r="H25"/>
  <c r="G25"/>
  <c r="F25"/>
  <c r="D25"/>
  <c r="C25"/>
  <c r="AA25" s="1"/>
  <c r="B25"/>
  <c r="Z25" s="1"/>
  <c r="AB25" s="1"/>
  <c r="AD25" s="1"/>
  <c r="Y24"/>
  <c r="X24"/>
  <c r="W24"/>
  <c r="V24"/>
  <c r="U24"/>
  <c r="T24"/>
  <c r="M24"/>
  <c r="L24"/>
  <c r="K24"/>
  <c r="J24"/>
  <c r="I24"/>
  <c r="H24"/>
  <c r="G24"/>
  <c r="F24"/>
  <c r="E24"/>
  <c r="D24"/>
  <c r="C24"/>
  <c r="AA24" s="1"/>
  <c r="B24"/>
  <c r="Z24" s="1"/>
  <c r="AB24" s="1"/>
  <c r="AD24" s="1"/>
  <c r="AA23"/>
  <c r="F23"/>
  <c r="B23"/>
  <c r="Z23" s="1"/>
  <c r="AB23" s="1"/>
  <c r="AD23" s="1"/>
  <c r="Y22"/>
  <c r="X22"/>
  <c r="V22"/>
  <c r="U22"/>
  <c r="T22"/>
  <c r="Q22"/>
  <c r="P22"/>
  <c r="O22"/>
  <c r="N22"/>
  <c r="M22"/>
  <c r="L22"/>
  <c r="K22"/>
  <c r="J22"/>
  <c r="G22"/>
  <c r="F22"/>
  <c r="E22"/>
  <c r="AA22" s="1"/>
  <c r="D22"/>
  <c r="B22"/>
  <c r="Z22" s="1"/>
  <c r="AB22" s="1"/>
  <c r="AD22" s="1"/>
  <c r="AA21"/>
  <c r="Z21"/>
  <c r="AB21" s="1"/>
  <c r="AD21" s="1"/>
  <c r="T20"/>
  <c r="N20"/>
  <c r="C20"/>
  <c r="AA20" s="1"/>
  <c r="B20"/>
  <c r="Z20" s="1"/>
  <c r="AB20" s="1"/>
  <c r="AD20" s="1"/>
  <c r="AA19"/>
  <c r="T19"/>
  <c r="Z19" s="1"/>
  <c r="AB19" s="1"/>
  <c r="AD19" s="1"/>
  <c r="W18"/>
  <c r="V18"/>
  <c r="U18"/>
  <c r="T18"/>
  <c r="Q18"/>
  <c r="P18"/>
  <c r="O18"/>
  <c r="N18"/>
  <c r="I18"/>
  <c r="H18"/>
  <c r="E18"/>
  <c r="AA18" s="1"/>
  <c r="D18"/>
  <c r="B18"/>
  <c r="Z18" s="1"/>
  <c r="AB18" s="1"/>
  <c r="AD18" s="1"/>
  <c r="Y17"/>
  <c r="X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A17" s="1"/>
  <c r="B17"/>
  <c r="Z17" s="1"/>
  <c r="AB17" s="1"/>
  <c r="AD17" s="1"/>
  <c r="AA16"/>
  <c r="P16"/>
  <c r="N16"/>
  <c r="D16"/>
  <c r="B16"/>
  <c r="Z16" s="1"/>
  <c r="AB16" s="1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A15" s="1"/>
  <c r="B15"/>
  <c r="Z15" s="1"/>
  <c r="AB15" s="1"/>
  <c r="AD15" s="1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A14" s="1"/>
  <c r="B14"/>
  <c r="Z14" s="1"/>
  <c r="AB14" s="1"/>
  <c r="AD14" s="1"/>
  <c r="Y13"/>
  <c r="X13"/>
  <c r="W13"/>
  <c r="V13"/>
  <c r="U13"/>
  <c r="T13"/>
  <c r="S13"/>
  <c r="R13"/>
  <c r="P13"/>
  <c r="O13"/>
  <c r="N13"/>
  <c r="L13"/>
  <c r="K13"/>
  <c r="J13"/>
  <c r="I13"/>
  <c r="H13"/>
  <c r="G13"/>
  <c r="F13"/>
  <c r="E13"/>
  <c r="D13"/>
  <c r="C13"/>
  <c r="AA13" s="1"/>
  <c r="B13"/>
  <c r="Z13" s="1"/>
  <c r="AB13" s="1"/>
  <c r="AD13" s="1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A12" s="1"/>
  <c r="B12"/>
  <c r="Z12" s="1"/>
  <c r="AB12" s="1"/>
  <c r="AD12" s="1"/>
  <c r="Y11"/>
  <c r="X11"/>
  <c r="Q11"/>
  <c r="P11"/>
  <c r="O11"/>
  <c r="N11"/>
  <c r="M11"/>
  <c r="L11"/>
  <c r="J11"/>
  <c r="I11"/>
  <c r="H11"/>
  <c r="G11"/>
  <c r="F11"/>
  <c r="E11"/>
  <c r="D11"/>
  <c r="C11"/>
  <c r="AA11" s="1"/>
  <c r="B11"/>
  <c r="Z11" s="1"/>
  <c r="AB11" s="1"/>
  <c r="AD11" s="1"/>
  <c r="Y10"/>
  <c r="X10"/>
  <c r="V10"/>
  <c r="T10"/>
  <c r="R10"/>
  <c r="Q10"/>
  <c r="P10"/>
  <c r="O10"/>
  <c r="N10"/>
  <c r="M10"/>
  <c r="L10"/>
  <c r="K10"/>
  <c r="J10"/>
  <c r="I10"/>
  <c r="H10"/>
  <c r="G10"/>
  <c r="F10"/>
  <c r="E10"/>
  <c r="D10"/>
  <c r="C10"/>
  <c r="AA10" s="1"/>
  <c r="B10"/>
  <c r="Z10" s="1"/>
  <c r="AB10" s="1"/>
  <c r="AD10" s="1"/>
  <c r="Y9"/>
  <c r="X9"/>
  <c r="W9"/>
  <c r="V9"/>
  <c r="U9"/>
  <c r="T9"/>
  <c r="S9"/>
  <c r="R9"/>
  <c r="Q9"/>
  <c r="P9"/>
  <c r="O9"/>
  <c r="N9"/>
  <c r="M40"/>
  <c r="L40"/>
  <c r="K9"/>
  <c r="J9"/>
  <c r="I9"/>
  <c r="H9"/>
  <c r="G9"/>
  <c r="F9"/>
  <c r="E9"/>
  <c r="D9"/>
  <c r="C9"/>
  <c r="AA9" s="1"/>
  <c r="B9"/>
  <c r="Z9" s="1"/>
  <c r="AB9" s="1"/>
  <c r="AD9" s="1"/>
  <c r="Y8"/>
  <c r="Y40" s="1"/>
  <c r="X8"/>
  <c r="X40" s="1"/>
  <c r="W8"/>
  <c r="W40" s="1"/>
  <c r="V8"/>
  <c r="V40" s="1"/>
  <c r="U8"/>
  <c r="U40" s="1"/>
  <c r="T8"/>
  <c r="T40" s="1"/>
  <c r="S8"/>
  <c r="S40" s="1"/>
  <c r="R8"/>
  <c r="R40" s="1"/>
  <c r="Q8"/>
  <c r="Q40" s="1"/>
  <c r="P8"/>
  <c r="P40" s="1"/>
  <c r="O8"/>
  <c r="O40" s="1"/>
  <c r="N8"/>
  <c r="N40" s="1"/>
  <c r="K8"/>
  <c r="K40" s="1"/>
  <c r="J8"/>
  <c r="J40" s="1"/>
  <c r="I8"/>
  <c r="I40" s="1"/>
  <c r="H8"/>
  <c r="H40" s="1"/>
  <c r="G8"/>
  <c r="G40" s="1"/>
  <c r="F8"/>
  <c r="F40" s="1"/>
  <c r="E8"/>
  <c r="E40" s="1"/>
  <c r="D8"/>
  <c r="D40" s="1"/>
  <c r="C8"/>
  <c r="C40" s="1"/>
  <c r="AA40" s="1"/>
  <c r="B8"/>
  <c r="B40" s="1"/>
  <c r="Z40" s="1"/>
  <c r="AB40" s="1"/>
  <c r="N30" i="1"/>
  <c r="P30" s="1"/>
  <c r="M38"/>
  <c r="M30"/>
  <c r="M29"/>
  <c r="X15" i="10"/>
  <c r="N19" i="1"/>
  <c r="M19"/>
  <c r="Y20" i="10"/>
  <c r="X20"/>
  <c r="M18" i="1"/>
  <c r="M13"/>
  <c r="L25"/>
  <c r="L23"/>
  <c r="L22"/>
  <c r="W24" i="10"/>
  <c r="V24"/>
  <c r="H23" i="1"/>
  <c r="Y9" i="10"/>
  <c r="W29"/>
  <c r="V29"/>
  <c r="W27"/>
  <c r="V27"/>
  <c r="W12"/>
  <c r="U28"/>
  <c r="T28"/>
  <c r="U26"/>
  <c r="U22"/>
  <c r="T22"/>
  <c r="U8"/>
  <c r="T8"/>
  <c r="J38" i="1"/>
  <c r="S31" i="10"/>
  <c r="R31"/>
  <c r="I23" i="1"/>
  <c r="O18" i="10"/>
  <c r="N18"/>
  <c r="H13" i="1"/>
  <c r="H12"/>
  <c r="G38"/>
  <c r="G35"/>
  <c r="G26"/>
  <c r="G23"/>
  <c r="C31"/>
  <c r="AD40" i="11" l="1"/>
  <c r="Z8"/>
  <c r="AA8"/>
  <c r="AA35" i="10"/>
  <c r="X35"/>
  <c r="V35"/>
  <c r="AC40"/>
  <c r="AA39"/>
  <c r="Z39"/>
  <c r="AB39" s="1"/>
  <c r="AD39" s="1"/>
  <c r="M37"/>
  <c r="L37"/>
  <c r="K37"/>
  <c r="J37"/>
  <c r="F37"/>
  <c r="E37"/>
  <c r="AA37" s="1"/>
  <c r="D37"/>
  <c r="B37"/>
  <c r="Z37" s="1"/>
  <c r="AB37" s="1"/>
  <c r="AD37" s="1"/>
  <c r="Y36"/>
  <c r="X36"/>
  <c r="U36"/>
  <c r="T36"/>
  <c r="Q36"/>
  <c r="P36"/>
  <c r="K36"/>
  <c r="J36"/>
  <c r="G36"/>
  <c r="AA36" s="1"/>
  <c r="F36"/>
  <c r="M34"/>
  <c r="L34"/>
  <c r="K34"/>
  <c r="J34"/>
  <c r="I34"/>
  <c r="H34"/>
  <c r="G34"/>
  <c r="F34"/>
  <c r="E34"/>
  <c r="C34"/>
  <c r="AA34" s="1"/>
  <c r="B34"/>
  <c r="Z34" s="1"/>
  <c r="AB34" s="1"/>
  <c r="AD34" s="1"/>
  <c r="Y33"/>
  <c r="X33"/>
  <c r="U33"/>
  <c r="T33"/>
  <c r="S33"/>
  <c r="R33"/>
  <c r="Q33"/>
  <c r="P33"/>
  <c r="O33"/>
  <c r="N33"/>
  <c r="M33"/>
  <c r="L33"/>
  <c r="K33"/>
  <c r="J33"/>
  <c r="I33"/>
  <c r="H33"/>
  <c r="G33"/>
  <c r="F33"/>
  <c r="C33"/>
  <c r="AA33" s="1"/>
  <c r="B33"/>
  <c r="Z33" s="1"/>
  <c r="AB33" s="1"/>
  <c r="AD33" s="1"/>
  <c r="AA32"/>
  <c r="Z32"/>
  <c r="AB32" s="1"/>
  <c r="AD32" s="1"/>
  <c r="Q31"/>
  <c r="P31"/>
  <c r="O31"/>
  <c r="N31"/>
  <c r="M31"/>
  <c r="L31"/>
  <c r="K31"/>
  <c r="J31"/>
  <c r="I31"/>
  <c r="H31"/>
  <c r="G31"/>
  <c r="F31"/>
  <c r="E31"/>
  <c r="D31"/>
  <c r="C31"/>
  <c r="AA31" s="1"/>
  <c r="B31"/>
  <c r="Z31" s="1"/>
  <c r="AB31" s="1"/>
  <c r="AD31" s="1"/>
  <c r="AA30"/>
  <c r="Z30"/>
  <c r="AB30" s="1"/>
  <c r="AD30" s="1"/>
  <c r="Y29"/>
  <c r="X29"/>
  <c r="U29"/>
  <c r="T29"/>
  <c r="Q29"/>
  <c r="P29"/>
  <c r="O29"/>
  <c r="N29"/>
  <c r="M29"/>
  <c r="L29"/>
  <c r="K29"/>
  <c r="J29"/>
  <c r="I29"/>
  <c r="H29"/>
  <c r="G29"/>
  <c r="F29"/>
  <c r="E29"/>
  <c r="AA29" s="1"/>
  <c r="D29"/>
  <c r="O28"/>
  <c r="N28"/>
  <c r="K28"/>
  <c r="J28"/>
  <c r="I28"/>
  <c r="H28"/>
  <c r="G28"/>
  <c r="F28"/>
  <c r="E28"/>
  <c r="D28"/>
  <c r="C28"/>
  <c r="AA28" s="1"/>
  <c r="B28"/>
  <c r="Z28" s="1"/>
  <c r="AB28" s="1"/>
  <c r="AD28" s="1"/>
  <c r="Y27"/>
  <c r="X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A27" s="1"/>
  <c r="B27"/>
  <c r="Z27" s="1"/>
  <c r="AB27" s="1"/>
  <c r="AD27" s="1"/>
  <c r="S26"/>
  <c r="R26"/>
  <c r="Q26"/>
  <c r="AA26" s="1"/>
  <c r="P26"/>
  <c r="B26"/>
  <c r="Z26" s="1"/>
  <c r="AB26" s="1"/>
  <c r="AD26" s="1"/>
  <c r="U25"/>
  <c r="T25"/>
  <c r="S25"/>
  <c r="R25"/>
  <c r="Q25"/>
  <c r="P25"/>
  <c r="O25"/>
  <c r="N25"/>
  <c r="L25"/>
  <c r="K25"/>
  <c r="J25"/>
  <c r="I25"/>
  <c r="H25"/>
  <c r="G25"/>
  <c r="F25"/>
  <c r="E25"/>
  <c r="D25"/>
  <c r="C25"/>
  <c r="AA25" s="1"/>
  <c r="B25"/>
  <c r="Z25" s="1"/>
  <c r="AB25" s="1"/>
  <c r="AD25" s="1"/>
  <c r="Y24"/>
  <c r="X24"/>
  <c r="U24"/>
  <c r="T24"/>
  <c r="M24"/>
  <c r="L24"/>
  <c r="K24"/>
  <c r="J24"/>
  <c r="I24"/>
  <c r="H24"/>
  <c r="G24"/>
  <c r="F24"/>
  <c r="E24"/>
  <c r="D24"/>
  <c r="C24"/>
  <c r="AA24" s="1"/>
  <c r="B24"/>
  <c r="Z24" s="1"/>
  <c r="AB24" s="1"/>
  <c r="AD24" s="1"/>
  <c r="AA23"/>
  <c r="P23"/>
  <c r="Y22"/>
  <c r="X22"/>
  <c r="W22"/>
  <c r="V22"/>
  <c r="Q22"/>
  <c r="P22"/>
  <c r="O22"/>
  <c r="N22"/>
  <c r="M22"/>
  <c r="L22"/>
  <c r="K22"/>
  <c r="J22"/>
  <c r="H22"/>
  <c r="G22"/>
  <c r="F22"/>
  <c r="E22"/>
  <c r="D22"/>
  <c r="C22"/>
  <c r="AA22" s="1"/>
  <c r="B22"/>
  <c r="Z22" s="1"/>
  <c r="AB22" s="1"/>
  <c r="AD22" s="1"/>
  <c r="AA21"/>
  <c r="B21"/>
  <c r="Z21" s="1"/>
  <c r="AB21" s="1"/>
  <c r="AD21" s="1"/>
  <c r="H20"/>
  <c r="C20"/>
  <c r="AA20" s="1"/>
  <c r="B20"/>
  <c r="Z20" s="1"/>
  <c r="AB20" s="1"/>
  <c r="AD20" s="1"/>
  <c r="AA19"/>
  <c r="P19"/>
  <c r="Y18"/>
  <c r="X18"/>
  <c r="W18"/>
  <c r="V18"/>
  <c r="U18"/>
  <c r="T18"/>
  <c r="S18"/>
  <c r="R18"/>
  <c r="Q18"/>
  <c r="P18"/>
  <c r="I18"/>
  <c r="H18"/>
  <c r="G18"/>
  <c r="F18"/>
  <c r="E18"/>
  <c r="D18"/>
  <c r="C18"/>
  <c r="AA18" s="1"/>
  <c r="B18"/>
  <c r="Z18" s="1"/>
  <c r="AB18" s="1"/>
  <c r="AD18" s="1"/>
  <c r="Y17"/>
  <c r="X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A17" s="1"/>
  <c r="B17"/>
  <c r="Z17" s="1"/>
  <c r="AB17" s="1"/>
  <c r="AD17" s="1"/>
  <c r="AA16"/>
  <c r="H16"/>
  <c r="B16"/>
  <c r="Z16" s="1"/>
  <c r="AB16" s="1"/>
  <c r="Y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A15" s="1"/>
  <c r="B15"/>
  <c r="Z15" s="1"/>
  <c r="AB15" s="1"/>
  <c r="AD15" s="1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A14" s="1"/>
  <c r="B14"/>
  <c r="Z14" s="1"/>
  <c r="AB14" s="1"/>
  <c r="AD14" s="1"/>
  <c r="Y13"/>
  <c r="X13"/>
  <c r="W13"/>
  <c r="V13"/>
  <c r="T13"/>
  <c r="S13"/>
  <c r="R13"/>
  <c r="P13"/>
  <c r="O13"/>
  <c r="N13"/>
  <c r="M13"/>
  <c r="L13"/>
  <c r="K13"/>
  <c r="J13"/>
  <c r="H13"/>
  <c r="G13"/>
  <c r="F13"/>
  <c r="E13"/>
  <c r="AA13" s="1"/>
  <c r="D13"/>
  <c r="B13"/>
  <c r="Z13" s="1"/>
  <c r="AB13" s="1"/>
  <c r="AD13" s="1"/>
  <c r="Y12"/>
  <c r="X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A12" s="1"/>
  <c r="B12"/>
  <c r="Z12" s="1"/>
  <c r="AB12" s="1"/>
  <c r="AD12" s="1"/>
  <c r="Y11"/>
  <c r="X11"/>
  <c r="Q11"/>
  <c r="P11"/>
  <c r="O11"/>
  <c r="N11"/>
  <c r="M11"/>
  <c r="L11"/>
  <c r="K11"/>
  <c r="J11"/>
  <c r="I11"/>
  <c r="H11"/>
  <c r="G11"/>
  <c r="F11"/>
  <c r="E11"/>
  <c r="D11"/>
  <c r="C11"/>
  <c r="AA11" s="1"/>
  <c r="B11"/>
  <c r="Z11" s="1"/>
  <c r="AB11" s="1"/>
  <c r="AD11" s="1"/>
  <c r="Y10"/>
  <c r="X10"/>
  <c r="Q10"/>
  <c r="P10"/>
  <c r="O10"/>
  <c r="N10"/>
  <c r="M10"/>
  <c r="L10"/>
  <c r="K10"/>
  <c r="J10"/>
  <c r="I10"/>
  <c r="H10"/>
  <c r="G10"/>
  <c r="F10"/>
  <c r="E10"/>
  <c r="D10"/>
  <c r="C10"/>
  <c r="AA10" s="1"/>
  <c r="B10"/>
  <c r="Z10" s="1"/>
  <c r="AB10" s="1"/>
  <c r="AD10" s="1"/>
  <c r="X9"/>
  <c r="W9"/>
  <c r="V9"/>
  <c r="U9"/>
  <c r="T9"/>
  <c r="S9"/>
  <c r="R9"/>
  <c r="Q9"/>
  <c r="P9"/>
  <c r="O9"/>
  <c r="N9"/>
  <c r="M9"/>
  <c r="M40" s="1"/>
  <c r="L9"/>
  <c r="K9"/>
  <c r="J9"/>
  <c r="I9"/>
  <c r="H9"/>
  <c r="G9"/>
  <c r="F9"/>
  <c r="E9"/>
  <c r="D9"/>
  <c r="C9"/>
  <c r="AA9" s="1"/>
  <c r="B9"/>
  <c r="Z9" s="1"/>
  <c r="AB9" s="1"/>
  <c r="AD9" s="1"/>
  <c r="Y8"/>
  <c r="Y40" s="1"/>
  <c r="X8"/>
  <c r="W8"/>
  <c r="W40" s="1"/>
  <c r="V8"/>
  <c r="U40"/>
  <c r="T40"/>
  <c r="S8"/>
  <c r="S40" s="1"/>
  <c r="R8"/>
  <c r="Q8"/>
  <c r="Q40" s="1"/>
  <c r="P8"/>
  <c r="O8"/>
  <c r="O40" s="1"/>
  <c r="N8"/>
  <c r="K8"/>
  <c r="K40" s="1"/>
  <c r="J8"/>
  <c r="I8"/>
  <c r="I40" s="1"/>
  <c r="H8"/>
  <c r="G8"/>
  <c r="G40" s="1"/>
  <c r="F8"/>
  <c r="E8"/>
  <c r="E40" s="1"/>
  <c r="D8"/>
  <c r="C8"/>
  <c r="C40" s="1"/>
  <c r="B8"/>
  <c r="B40" s="1"/>
  <c r="B6" i="9"/>
  <c r="C6"/>
  <c r="D6"/>
  <c r="E6"/>
  <c r="G6"/>
  <c r="H6"/>
  <c r="I6"/>
  <c r="J6"/>
  <c r="L6"/>
  <c r="M6"/>
  <c r="N6"/>
  <c r="P6"/>
  <c r="B7"/>
  <c r="C7"/>
  <c r="D7"/>
  <c r="E7"/>
  <c r="G7"/>
  <c r="H7"/>
  <c r="I7"/>
  <c r="J7"/>
  <c r="K7"/>
  <c r="L7"/>
  <c r="M7"/>
  <c r="N7"/>
  <c r="P7"/>
  <c r="N17"/>
  <c r="N16"/>
  <c r="P16" s="1"/>
  <c r="B16"/>
  <c r="L15"/>
  <c r="N15" s="1"/>
  <c r="N14"/>
  <c r="P14" s="1"/>
  <c r="L13"/>
  <c r="J13"/>
  <c r="I13"/>
  <c r="N13" s="1"/>
  <c r="P13" s="1"/>
  <c r="B12"/>
  <c r="N12" s="1"/>
  <c r="P12" s="1"/>
  <c r="N11"/>
  <c r="P11" s="1"/>
  <c r="N10"/>
  <c r="P10" s="1"/>
  <c r="M9"/>
  <c r="L9"/>
  <c r="J9"/>
  <c r="I9"/>
  <c r="E9"/>
  <c r="C9"/>
  <c r="N9" s="1"/>
  <c r="P9" s="1"/>
  <c r="M8"/>
  <c r="L8"/>
  <c r="J8"/>
  <c r="I8"/>
  <c r="G8"/>
  <c r="D8"/>
  <c r="C8"/>
  <c r="B8"/>
  <c r="N8" s="1"/>
  <c r="P8" s="1"/>
  <c r="J18"/>
  <c r="I18"/>
  <c r="C18"/>
  <c r="B18"/>
  <c r="M18"/>
  <c r="L18"/>
  <c r="K18"/>
  <c r="H18"/>
  <c r="G18"/>
  <c r="F18"/>
  <c r="E18"/>
  <c r="D18"/>
  <c r="N25" i="8"/>
  <c r="P25" s="1"/>
  <c r="M24"/>
  <c r="N24" s="1"/>
  <c r="P24" s="1"/>
  <c r="N23"/>
  <c r="P23" s="1"/>
  <c r="E22"/>
  <c r="B22"/>
  <c r="N22" s="1"/>
  <c r="P22" s="1"/>
  <c r="E21"/>
  <c r="B21"/>
  <c r="N21" s="1"/>
  <c r="P21" s="1"/>
  <c r="E20"/>
  <c r="B20"/>
  <c r="N20" s="1"/>
  <c r="P20" s="1"/>
  <c r="M19"/>
  <c r="J19"/>
  <c r="E19"/>
  <c r="D19"/>
  <c r="C19"/>
  <c r="B19"/>
  <c r="N19" s="1"/>
  <c r="P19" s="1"/>
  <c r="L18"/>
  <c r="D18"/>
  <c r="C18"/>
  <c r="B18"/>
  <c r="N18" s="1"/>
  <c r="P18" s="1"/>
  <c r="M17"/>
  <c r="H17"/>
  <c r="E17"/>
  <c r="D17"/>
  <c r="B17"/>
  <c r="N17" s="1"/>
  <c r="P17" s="1"/>
  <c r="L16"/>
  <c r="K16"/>
  <c r="J16"/>
  <c r="I16"/>
  <c r="H16"/>
  <c r="E16"/>
  <c r="D16"/>
  <c r="C16"/>
  <c r="B16"/>
  <c r="N16" s="1"/>
  <c r="P16" s="1"/>
  <c r="D15"/>
  <c r="C15"/>
  <c r="B15"/>
  <c r="N15" s="1"/>
  <c r="P15" s="1"/>
  <c r="M14"/>
  <c r="L14"/>
  <c r="K14"/>
  <c r="I14"/>
  <c r="D14"/>
  <c r="C14"/>
  <c r="B14"/>
  <c r="N14" s="1"/>
  <c r="P14" s="1"/>
  <c r="M13"/>
  <c r="L13"/>
  <c r="C13"/>
  <c r="B13"/>
  <c r="N13" s="1"/>
  <c r="P13" s="1"/>
  <c r="L12"/>
  <c r="K12"/>
  <c r="E12"/>
  <c r="D12"/>
  <c r="C12"/>
  <c r="B12"/>
  <c r="N12" s="1"/>
  <c r="P12" s="1"/>
  <c r="J11"/>
  <c r="E11"/>
  <c r="D11"/>
  <c r="C11"/>
  <c r="B11"/>
  <c r="N11" s="1"/>
  <c r="P11" s="1"/>
  <c r="M9"/>
  <c r="L9"/>
  <c r="J9"/>
  <c r="I9"/>
  <c r="H9"/>
  <c r="G9"/>
  <c r="E9"/>
  <c r="C9"/>
  <c r="N9" s="1"/>
  <c r="P9" s="1"/>
  <c r="M8"/>
  <c r="L8"/>
  <c r="I8"/>
  <c r="G8"/>
  <c r="E8"/>
  <c r="C8"/>
  <c r="B8"/>
  <c r="N8" s="1"/>
  <c r="P8" s="1"/>
  <c r="M7"/>
  <c r="K7"/>
  <c r="J7"/>
  <c r="I7"/>
  <c r="H7"/>
  <c r="G7"/>
  <c r="E7"/>
  <c r="D7"/>
  <c r="C7"/>
  <c r="B7"/>
  <c r="N7" s="1"/>
  <c r="P7" s="1"/>
  <c r="J26"/>
  <c r="I26"/>
  <c r="C26"/>
  <c r="B26"/>
  <c r="M6"/>
  <c r="M26" s="1"/>
  <c r="L6"/>
  <c r="L26" s="1"/>
  <c r="K6"/>
  <c r="K26" s="1"/>
  <c r="H6"/>
  <c r="H26" s="1"/>
  <c r="G6"/>
  <c r="G26" s="1"/>
  <c r="F6"/>
  <c r="F26" s="1"/>
  <c r="E6"/>
  <c r="E26" s="1"/>
  <c r="D6"/>
  <c r="D26" s="1"/>
  <c r="O18" i="7"/>
  <c r="F18"/>
  <c r="M17"/>
  <c r="N17" s="1"/>
  <c r="M16"/>
  <c r="L16"/>
  <c r="E16"/>
  <c r="N16" s="1"/>
  <c r="P16" s="1"/>
  <c r="M15"/>
  <c r="L15"/>
  <c r="K15"/>
  <c r="N15" s="1"/>
  <c r="K14"/>
  <c r="J14"/>
  <c r="N14" s="1"/>
  <c r="P14" s="1"/>
  <c r="K13"/>
  <c r="D13"/>
  <c r="N13" s="1"/>
  <c r="P13" s="1"/>
  <c r="K12"/>
  <c r="B12"/>
  <c r="N12" s="1"/>
  <c r="P12" s="1"/>
  <c r="B11"/>
  <c r="M10"/>
  <c r="K10"/>
  <c r="C10"/>
  <c r="N10" s="1"/>
  <c r="P10" s="1"/>
  <c r="M9"/>
  <c r="L9"/>
  <c r="K9"/>
  <c r="J9"/>
  <c r="I9"/>
  <c r="H9"/>
  <c r="G9"/>
  <c r="E9"/>
  <c r="D9"/>
  <c r="C9"/>
  <c r="B9"/>
  <c r="N9" s="1"/>
  <c r="P9" s="1"/>
  <c r="M8"/>
  <c r="L8"/>
  <c r="K8"/>
  <c r="J8"/>
  <c r="I8"/>
  <c r="H8"/>
  <c r="G8"/>
  <c r="E8"/>
  <c r="D8"/>
  <c r="C8"/>
  <c r="B8"/>
  <c r="N8" s="1"/>
  <c r="P8" s="1"/>
  <c r="M7"/>
  <c r="I7"/>
  <c r="H7"/>
  <c r="G7"/>
  <c r="E7"/>
  <c r="D7"/>
  <c r="C7"/>
  <c r="B7"/>
  <c r="N7" s="1"/>
  <c r="P7" s="1"/>
  <c r="M6"/>
  <c r="L6"/>
  <c r="K6"/>
  <c r="J6"/>
  <c r="I6"/>
  <c r="H6"/>
  <c r="G6"/>
  <c r="E6"/>
  <c r="D6"/>
  <c r="C6"/>
  <c r="B6"/>
  <c r="N6" s="1"/>
  <c r="P6" s="1"/>
  <c r="M18"/>
  <c r="L18"/>
  <c r="K18"/>
  <c r="J18"/>
  <c r="I18"/>
  <c r="H18"/>
  <c r="G18"/>
  <c r="E18"/>
  <c r="D18"/>
  <c r="C18"/>
  <c r="B18"/>
  <c r="O26" i="6"/>
  <c r="F26"/>
  <c r="H25"/>
  <c r="N25" s="1"/>
  <c r="P25" s="1"/>
  <c r="M24"/>
  <c r="G24"/>
  <c r="D24"/>
  <c r="C24"/>
  <c r="N24" s="1"/>
  <c r="P24" s="1"/>
  <c r="M23"/>
  <c r="L23"/>
  <c r="D23"/>
  <c r="N23" s="1"/>
  <c r="P23" s="1"/>
  <c r="H22"/>
  <c r="G22"/>
  <c r="E22"/>
  <c r="D22"/>
  <c r="C22"/>
  <c r="B22"/>
  <c r="N22" s="1"/>
  <c r="P22" s="1"/>
  <c r="M21"/>
  <c r="I21"/>
  <c r="H21"/>
  <c r="G21"/>
  <c r="E21"/>
  <c r="D21"/>
  <c r="C21"/>
  <c r="B21"/>
  <c r="N21" s="1"/>
  <c r="P21" s="1"/>
  <c r="M20"/>
  <c r="J20"/>
  <c r="I20"/>
  <c r="H20"/>
  <c r="G20"/>
  <c r="E20"/>
  <c r="D20"/>
  <c r="C20"/>
  <c r="B20"/>
  <c r="N20" s="1"/>
  <c r="P20" s="1"/>
  <c r="M19"/>
  <c r="L19"/>
  <c r="K19"/>
  <c r="J19"/>
  <c r="I19"/>
  <c r="H19"/>
  <c r="G19"/>
  <c r="E19"/>
  <c r="D19"/>
  <c r="C19"/>
  <c r="N19" s="1"/>
  <c r="P19" s="1"/>
  <c r="L18"/>
  <c r="J18"/>
  <c r="I18"/>
  <c r="H18"/>
  <c r="E18"/>
  <c r="D18"/>
  <c r="C18"/>
  <c r="B18"/>
  <c r="N18" s="1"/>
  <c r="P18" s="1"/>
  <c r="M17"/>
  <c r="L17"/>
  <c r="K17"/>
  <c r="J17"/>
  <c r="I17"/>
  <c r="H17"/>
  <c r="G17"/>
  <c r="E17"/>
  <c r="D17"/>
  <c r="C17"/>
  <c r="B17"/>
  <c r="N17" s="1"/>
  <c r="P17" s="1"/>
  <c r="K16"/>
  <c r="J16"/>
  <c r="I16"/>
  <c r="H16"/>
  <c r="G16"/>
  <c r="E16"/>
  <c r="D16"/>
  <c r="C16"/>
  <c r="B16"/>
  <c r="N16" s="1"/>
  <c r="P16" s="1"/>
  <c r="M15"/>
  <c r="L15"/>
  <c r="J15"/>
  <c r="G15"/>
  <c r="E15"/>
  <c r="D15"/>
  <c r="C15"/>
  <c r="B15"/>
  <c r="N15" s="1"/>
  <c r="P15" s="1"/>
  <c r="M14"/>
  <c r="L14"/>
  <c r="K14"/>
  <c r="I14"/>
  <c r="H14"/>
  <c r="G14"/>
  <c r="D14"/>
  <c r="C14"/>
  <c r="B14"/>
  <c r="N14" s="1"/>
  <c r="P14" s="1"/>
  <c r="M13"/>
  <c r="E13"/>
  <c r="D13"/>
  <c r="B13"/>
  <c r="N13" s="1"/>
  <c r="P13" s="1"/>
  <c r="M12"/>
  <c r="L12"/>
  <c r="K12"/>
  <c r="J12"/>
  <c r="I12"/>
  <c r="E12"/>
  <c r="D12"/>
  <c r="C12"/>
  <c r="B12"/>
  <c r="N12" s="1"/>
  <c r="P12" s="1"/>
  <c r="M11"/>
  <c r="K11"/>
  <c r="J11"/>
  <c r="I11"/>
  <c r="H11"/>
  <c r="G11"/>
  <c r="E11"/>
  <c r="D11"/>
  <c r="C11"/>
  <c r="B11"/>
  <c r="N11" s="1"/>
  <c r="P11" s="1"/>
  <c r="M9"/>
  <c r="L9"/>
  <c r="K9"/>
  <c r="J9"/>
  <c r="I9"/>
  <c r="H9"/>
  <c r="G9"/>
  <c r="E9"/>
  <c r="D9"/>
  <c r="C9"/>
  <c r="B9"/>
  <c r="N9" s="1"/>
  <c r="P9" s="1"/>
  <c r="M8"/>
  <c r="L8"/>
  <c r="K8"/>
  <c r="J8"/>
  <c r="I8"/>
  <c r="H8"/>
  <c r="G8"/>
  <c r="E8"/>
  <c r="D8"/>
  <c r="C8"/>
  <c r="B8"/>
  <c r="N8" s="1"/>
  <c r="P8" s="1"/>
  <c r="M7"/>
  <c r="I7"/>
  <c r="H7"/>
  <c r="G7"/>
  <c r="E7"/>
  <c r="D7"/>
  <c r="C7"/>
  <c r="N7" s="1"/>
  <c r="P7" s="1"/>
  <c r="M6"/>
  <c r="M26" s="1"/>
  <c r="L6"/>
  <c r="L26" s="1"/>
  <c r="K6"/>
  <c r="K26" s="1"/>
  <c r="J6"/>
  <c r="J26" s="1"/>
  <c r="I6"/>
  <c r="I26" s="1"/>
  <c r="H6"/>
  <c r="H26" s="1"/>
  <c r="G6"/>
  <c r="G26" s="1"/>
  <c r="E6"/>
  <c r="E26" s="1"/>
  <c r="D6"/>
  <c r="D26" s="1"/>
  <c r="C6"/>
  <c r="C26" s="1"/>
  <c r="B6"/>
  <c r="B26" s="1"/>
  <c r="L30" i="2"/>
  <c r="B27"/>
  <c r="K9" i="3"/>
  <c r="B9"/>
  <c r="M9"/>
  <c r="L9"/>
  <c r="C9"/>
  <c r="D9"/>
  <c r="F9"/>
  <c r="J9"/>
  <c r="I9"/>
  <c r="H9"/>
  <c r="G9"/>
  <c r="L30" i="1"/>
  <c r="K30"/>
  <c r="J27" i="2"/>
  <c r="M18"/>
  <c r="L18"/>
  <c r="AB8" i="11" l="1"/>
  <c r="AD8" s="1"/>
  <c r="D40" i="10"/>
  <c r="Z29"/>
  <c r="AB29" s="1"/>
  <c r="AD29" s="1"/>
  <c r="F40"/>
  <c r="Z36"/>
  <c r="AB36" s="1"/>
  <c r="AD36" s="1"/>
  <c r="H40"/>
  <c r="J40"/>
  <c r="N40"/>
  <c r="P40"/>
  <c r="Z19"/>
  <c r="AB19" s="1"/>
  <c r="AD19" s="1"/>
  <c r="Z23"/>
  <c r="AB23" s="1"/>
  <c r="AD23" s="1"/>
  <c r="V40"/>
  <c r="Z35"/>
  <c r="AB35" s="1"/>
  <c r="R40"/>
  <c r="X40"/>
  <c r="L40"/>
  <c r="Z8"/>
  <c r="AA8"/>
  <c r="AA40" s="1"/>
  <c r="N6" i="8"/>
  <c r="N6" i="6"/>
  <c r="M20" i="1"/>
  <c r="L20"/>
  <c r="M20" i="2"/>
  <c r="L20"/>
  <c r="H32" i="1"/>
  <c r="L26"/>
  <c r="J28"/>
  <c r="J27"/>
  <c r="J26"/>
  <c r="N33" i="2"/>
  <c r="M33" i="1"/>
  <c r="L33"/>
  <c r="Z40" i="10" l="1"/>
  <c r="AB40" s="1"/>
  <c r="AD40" s="1"/>
  <c r="AB8"/>
  <c r="AD8" s="1"/>
  <c r="N18" i="9"/>
  <c r="P18" s="1"/>
  <c r="N26" i="8"/>
  <c r="P26" s="1"/>
  <c r="P6"/>
  <c r="N18" i="7"/>
  <c r="P18" s="1"/>
  <c r="N26" i="6"/>
  <c r="P26" s="1"/>
  <c r="P6"/>
  <c r="L26" i="2"/>
  <c r="L24"/>
  <c r="P25" i="3" l="1"/>
  <c r="P26"/>
  <c r="P28"/>
  <c r="P29"/>
  <c r="M31"/>
  <c r="N9"/>
  <c r="P9" s="1"/>
  <c r="N10"/>
  <c r="P10" s="1"/>
  <c r="N11"/>
  <c r="P11" s="1"/>
  <c r="P12"/>
  <c r="N13"/>
  <c r="P13" s="1"/>
  <c r="M16"/>
  <c r="P7" i="2"/>
  <c r="P8"/>
  <c r="P9"/>
  <c r="P12"/>
  <c r="P22"/>
  <c r="P25"/>
  <c r="P31"/>
  <c r="P37"/>
  <c r="P6"/>
  <c r="M25"/>
  <c r="M9"/>
  <c r="M8"/>
  <c r="M25" i="1"/>
  <c r="M9"/>
  <c r="M8"/>
  <c r="P7"/>
  <c r="P10"/>
  <c r="P11"/>
  <c r="M7"/>
  <c r="M6"/>
  <c r="M7" i="2"/>
  <c r="M6"/>
  <c r="N6"/>
  <c r="N7"/>
  <c r="N8"/>
  <c r="N9"/>
  <c r="N20"/>
  <c r="P20" s="1"/>
  <c r="N21"/>
  <c r="P21" s="1"/>
  <c r="N23"/>
  <c r="P23" s="1"/>
  <c r="N24"/>
  <c r="P24" s="1"/>
  <c r="N25"/>
  <c r="N26"/>
  <c r="P26" s="1"/>
  <c r="N27"/>
  <c r="P27" s="1"/>
  <c r="N28"/>
  <c r="P28" s="1"/>
  <c r="N29"/>
  <c r="P29" s="1"/>
  <c r="N30"/>
  <c r="N32"/>
  <c r="P32" s="1"/>
  <c r="P33"/>
  <c r="N34"/>
  <c r="P34" s="1"/>
  <c r="N35"/>
  <c r="P35" s="1"/>
  <c r="N36"/>
  <c r="N37"/>
  <c r="L38"/>
  <c r="M38"/>
  <c r="N18"/>
  <c r="P18" s="1"/>
  <c r="N19"/>
  <c r="P19" s="1"/>
  <c r="N10"/>
  <c r="P10" s="1"/>
  <c r="L31" i="3"/>
  <c r="L16"/>
  <c r="N31" i="2"/>
  <c r="N22"/>
  <c r="N15"/>
  <c r="P15" s="1"/>
  <c r="N16"/>
  <c r="P16" s="1"/>
  <c r="N17"/>
  <c r="P17" s="1"/>
  <c r="L7"/>
  <c r="L6"/>
  <c r="K38" i="1"/>
  <c r="L38"/>
  <c r="J29"/>
  <c r="L27"/>
  <c r="L7"/>
  <c r="L6"/>
  <c r="F16" i="3"/>
  <c r="F31"/>
  <c r="N11" i="2"/>
  <c r="P11" s="1"/>
  <c r="N12"/>
  <c r="N13"/>
  <c r="P13" s="1"/>
  <c r="M27"/>
  <c r="M12"/>
  <c r="M10"/>
  <c r="M34" i="1"/>
  <c r="M31"/>
  <c r="M27"/>
  <c r="M22"/>
  <c r="M16"/>
  <c r="M15"/>
  <c r="M12"/>
  <c r="M11"/>
  <c r="M10"/>
  <c r="B7"/>
  <c r="C7"/>
  <c r="D7"/>
  <c r="E7"/>
  <c r="G7"/>
  <c r="H7"/>
  <c r="I7"/>
  <c r="J7"/>
  <c r="K7"/>
  <c r="N7"/>
  <c r="B9"/>
  <c r="C9"/>
  <c r="D9"/>
  <c r="E9"/>
  <c r="G9"/>
  <c r="H9"/>
  <c r="I9"/>
  <c r="N9"/>
  <c r="P9" s="1"/>
  <c r="B11"/>
  <c r="C11"/>
  <c r="D11"/>
  <c r="E11"/>
  <c r="G11"/>
  <c r="H11"/>
  <c r="I11"/>
  <c r="J11"/>
  <c r="K11"/>
  <c r="L11"/>
  <c r="N11"/>
  <c r="B13"/>
  <c r="C13"/>
  <c r="D13"/>
  <c r="E13"/>
  <c r="G13"/>
  <c r="I13"/>
  <c r="J13"/>
  <c r="K13"/>
  <c r="L13"/>
  <c r="N13"/>
  <c r="P13" s="1"/>
  <c r="C17"/>
  <c r="K17"/>
  <c r="N17"/>
  <c r="P17" s="1"/>
  <c r="B19"/>
  <c r="B21"/>
  <c r="K21"/>
  <c r="N21"/>
  <c r="P21" s="1"/>
  <c r="D24"/>
  <c r="K24"/>
  <c r="N24"/>
  <c r="P24" s="1"/>
  <c r="N28"/>
  <c r="P28" s="1"/>
  <c r="E33"/>
  <c r="N33"/>
  <c r="P33" s="1"/>
  <c r="N36"/>
  <c r="B6"/>
  <c r="C6"/>
  <c r="D6"/>
  <c r="E6"/>
  <c r="G6"/>
  <c r="H6"/>
  <c r="I6"/>
  <c r="J6"/>
  <c r="N6"/>
  <c r="P6" s="1"/>
  <c r="C8"/>
  <c r="D8"/>
  <c r="E8"/>
  <c r="G8"/>
  <c r="H8"/>
  <c r="I8"/>
  <c r="N8"/>
  <c r="P8" s="1"/>
  <c r="N10"/>
  <c r="N12"/>
  <c r="P12" s="1"/>
  <c r="N15"/>
  <c r="P15" s="1"/>
  <c r="N16"/>
  <c r="P16" s="1"/>
  <c r="N18"/>
  <c r="P18" s="1"/>
  <c r="N20"/>
  <c r="P20" s="1"/>
  <c r="N22"/>
  <c r="P22" s="1"/>
  <c r="N23"/>
  <c r="P23" s="1"/>
  <c r="N25"/>
  <c r="P25" s="1"/>
  <c r="N26"/>
  <c r="P26" s="1"/>
  <c r="N27"/>
  <c r="P27" s="1"/>
  <c r="N29"/>
  <c r="P29" s="1"/>
  <c r="N31"/>
  <c r="P31" s="1"/>
  <c r="N32"/>
  <c r="P32" s="1"/>
  <c r="N34"/>
  <c r="P34" s="1"/>
  <c r="N35"/>
  <c r="P35" s="1"/>
  <c r="N37"/>
  <c r="P37" s="1"/>
  <c r="K25"/>
  <c r="L13" i="2"/>
  <c r="L12"/>
  <c r="L11"/>
  <c r="L9"/>
  <c r="L34" i="1"/>
  <c r="L16"/>
  <c r="L12"/>
  <c r="L10"/>
  <c r="J31" i="3"/>
  <c r="K31"/>
  <c r="J16"/>
  <c r="K16"/>
  <c r="B38" i="2"/>
  <c r="D38"/>
  <c r="F38"/>
  <c r="G38"/>
  <c r="H38"/>
  <c r="I38"/>
  <c r="K38"/>
  <c r="H37" i="1"/>
  <c r="G22"/>
  <c r="G10"/>
  <c r="E27"/>
  <c r="D35"/>
  <c r="D26"/>
  <c r="C35"/>
  <c r="B23"/>
  <c r="K8" i="2"/>
  <c r="K9"/>
  <c r="J9"/>
  <c r="J8"/>
  <c r="K6"/>
  <c r="G16" i="3"/>
  <c r="H16"/>
  <c r="I16"/>
  <c r="G31"/>
  <c r="H31"/>
  <c r="I31"/>
  <c r="B31"/>
  <c r="C31"/>
  <c r="D31"/>
  <c r="E31"/>
  <c r="B16"/>
  <c r="C16"/>
  <c r="D16"/>
  <c r="E16"/>
  <c r="O31"/>
  <c r="O16"/>
  <c r="O38" i="1"/>
  <c r="K23" i="2"/>
  <c r="K20"/>
  <c r="K16"/>
  <c r="J24"/>
  <c r="J23"/>
  <c r="J15"/>
  <c r="J13"/>
  <c r="J12"/>
  <c r="J11"/>
  <c r="J7"/>
  <c r="I24"/>
  <c r="I23"/>
  <c r="I20"/>
  <c r="I13"/>
  <c r="I12"/>
  <c r="I11"/>
  <c r="I10"/>
  <c r="I9"/>
  <c r="I8"/>
  <c r="I7"/>
  <c r="H25"/>
  <c r="H23"/>
  <c r="H12"/>
  <c r="H9"/>
  <c r="H8"/>
  <c r="H7"/>
  <c r="H6"/>
  <c r="G12"/>
  <c r="G11"/>
  <c r="G10"/>
  <c r="G9"/>
  <c r="G8"/>
  <c r="G7"/>
  <c r="G6"/>
  <c r="F6"/>
  <c r="K27" i="1"/>
  <c r="K23"/>
  <c r="K20"/>
  <c r="K16"/>
  <c r="K15"/>
  <c r="K12"/>
  <c r="K10"/>
  <c r="J25"/>
  <c r="J23"/>
  <c r="J22"/>
  <c r="J15"/>
  <c r="J12"/>
  <c r="J10"/>
  <c r="I38"/>
  <c r="I31"/>
  <c r="I29"/>
  <c r="I27"/>
  <c r="I26"/>
  <c r="I25"/>
  <c r="F38"/>
  <c r="P31" i="3" l="1"/>
  <c r="N16"/>
  <c r="P16" s="1"/>
  <c r="N38" i="2"/>
  <c r="P38" s="1"/>
  <c r="N38" i="1"/>
  <c r="P38" s="1"/>
  <c r="I20"/>
  <c r="I16"/>
  <c r="I15"/>
  <c r="I12"/>
  <c r="I10"/>
  <c r="E38"/>
  <c r="H38"/>
  <c r="H31"/>
  <c r="H29"/>
  <c r="H27"/>
  <c r="H26"/>
  <c r="H25"/>
  <c r="H20"/>
  <c r="H15"/>
  <c r="H10"/>
  <c r="G32"/>
  <c r="G31"/>
  <c r="G29"/>
  <c r="G27"/>
  <c r="G25"/>
  <c r="G20"/>
  <c r="G15"/>
  <c r="G12"/>
  <c r="E32"/>
  <c r="E31"/>
  <c r="E29" l="1"/>
  <c r="E26"/>
  <c r="E25"/>
  <c r="E23"/>
  <c r="E22"/>
  <c r="E18"/>
  <c r="E16"/>
  <c r="E15"/>
  <c r="E12"/>
  <c r="E10"/>
  <c r="B38"/>
  <c r="C38"/>
  <c r="D38"/>
  <c r="D34"/>
  <c r="D32"/>
  <c r="D31"/>
  <c r="D29"/>
  <c r="D27"/>
  <c r="D25"/>
  <c r="D23"/>
  <c r="D22"/>
  <c r="D20"/>
  <c r="D18"/>
  <c r="D16"/>
  <c r="D15"/>
  <c r="D12"/>
  <c r="D10"/>
  <c r="E32" i="2"/>
  <c r="E31"/>
  <c r="E29"/>
  <c r="E27"/>
  <c r="E25"/>
  <c r="E23"/>
  <c r="E16"/>
  <c r="E15"/>
  <c r="E13"/>
  <c r="E12"/>
  <c r="E10"/>
  <c r="E9"/>
  <c r="E8"/>
  <c r="E7"/>
  <c r="E6"/>
  <c r="D27"/>
  <c r="D26"/>
  <c r="D25"/>
  <c r="D23"/>
  <c r="D22"/>
  <c r="D20"/>
  <c r="D16"/>
  <c r="D15"/>
  <c r="D11"/>
  <c r="D9"/>
  <c r="D8"/>
  <c r="D7"/>
  <c r="D6"/>
  <c r="C27"/>
  <c r="C26"/>
  <c r="C23"/>
  <c r="C22"/>
  <c r="C20"/>
  <c r="C18"/>
  <c r="C16"/>
  <c r="C15"/>
  <c r="C13"/>
  <c r="C12"/>
  <c r="C11"/>
  <c r="C10"/>
  <c r="C9"/>
  <c r="C8"/>
  <c r="C7"/>
  <c r="C32" i="1"/>
  <c r="C29"/>
  <c r="C27"/>
  <c r="C26"/>
  <c r="C25"/>
  <c r="C23"/>
  <c r="C22"/>
  <c r="C20"/>
  <c r="C16"/>
  <c r="C15"/>
  <c r="C12"/>
  <c r="C10"/>
  <c r="B21" i="2" l="1"/>
  <c r="B33"/>
  <c r="B32"/>
  <c r="B31"/>
  <c r="B29"/>
  <c r="B26"/>
  <c r="B25"/>
  <c r="B23"/>
  <c r="B22"/>
  <c r="B20"/>
  <c r="B18"/>
  <c r="B16"/>
  <c r="B15"/>
  <c r="B11"/>
  <c r="B10"/>
  <c r="B9"/>
  <c r="B8"/>
  <c r="B7"/>
  <c r="B32" i="1"/>
  <c r="B31"/>
  <c r="B29"/>
  <c r="B26"/>
  <c r="B25"/>
  <c r="B22"/>
  <c r="B20"/>
  <c r="B18"/>
  <c r="B16"/>
  <c r="B15"/>
  <c r="B12"/>
  <c r="B10"/>
</calcChain>
</file>

<file path=xl/sharedStrings.xml><?xml version="1.0" encoding="utf-8"?>
<sst xmlns="http://schemas.openxmlformats.org/spreadsheetml/2006/main" count="538" uniqueCount="108">
  <si>
    <t>FEDERAL AIRPORTS AUTHORITY OF NIGERIA</t>
  </si>
  <si>
    <t>OPERATIONS HEADQUARTERS</t>
  </si>
  <si>
    <t>PASSENGER TRAFFFIC</t>
  </si>
  <si>
    <t>AIRPORT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</si>
  <si>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</si>
  <si>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</si>
  <si>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</si>
  <si>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</si>
  <si>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</si>
  <si>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</si>
  <si>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</si>
  <si>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</si>
  <si>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</si>
  <si>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</si>
  <si>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</si>
  <si>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</si>
  <si>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G.TOTAL</t>
  </si>
  <si>
    <t>%GROWTH</t>
  </si>
  <si>
    <t>MMA DOM</t>
  </si>
  <si>
    <t>MMA INT'L</t>
  </si>
  <si>
    <t>ABJ DOM</t>
  </si>
  <si>
    <t>ABJ INT'L</t>
  </si>
  <si>
    <t>PHC DOM</t>
  </si>
  <si>
    <t>PHC INT'L</t>
  </si>
  <si>
    <t>KANO DOM</t>
  </si>
  <si>
    <t>KANO INT'L</t>
  </si>
  <si>
    <t>ENUGU</t>
  </si>
  <si>
    <t>OSUBI</t>
  </si>
  <si>
    <t>KAD DOM</t>
  </si>
  <si>
    <t>KAD INT'L</t>
  </si>
  <si>
    <t>CAL DOM</t>
  </si>
  <si>
    <t>CAL INT'L</t>
  </si>
  <si>
    <t>SOK DOM</t>
  </si>
  <si>
    <t>SOK INT'L</t>
  </si>
  <si>
    <t>BENIN</t>
  </si>
  <si>
    <t>MAID DOM</t>
  </si>
  <si>
    <t>MAID INT'L</t>
  </si>
  <si>
    <t>JOS</t>
  </si>
  <si>
    <t>OWERRI</t>
  </si>
  <si>
    <t>YOLA DOM</t>
  </si>
  <si>
    <t>YOLA INT'L</t>
  </si>
  <si>
    <t>ILORIN DOM</t>
  </si>
  <si>
    <t>ILORIN INT'L</t>
  </si>
  <si>
    <t>IBADAN</t>
  </si>
  <si>
    <t>MINNA</t>
  </si>
  <si>
    <t>MIN INT'L</t>
  </si>
  <si>
    <t>AKURE</t>
  </si>
  <si>
    <t>KAT</t>
  </si>
  <si>
    <t>KAT INT'L</t>
  </si>
  <si>
    <t>MKD</t>
  </si>
  <si>
    <t>TOTAL</t>
  </si>
  <si>
    <t>AIRCRAFT MOVEMENT</t>
  </si>
  <si>
    <t>ABV DOM</t>
  </si>
  <si>
    <t>ABV INT'L</t>
  </si>
  <si>
    <t>CBQ DOM</t>
  </si>
  <si>
    <t>CBQ INT'L</t>
  </si>
  <si>
    <t>CARGO MOVEMENT (KG)</t>
  </si>
  <si>
    <t>MMA</t>
  </si>
  <si>
    <t>ABUJA</t>
  </si>
  <si>
    <t>PHC</t>
  </si>
  <si>
    <t>KANO</t>
  </si>
  <si>
    <t>ILR</t>
  </si>
  <si>
    <t>JANUARY - DECEMBER 2010</t>
  </si>
  <si>
    <t>TOTAL 09</t>
  </si>
  <si>
    <t>OPERATIONS DEPARTMENT HEADQUARTERS</t>
  </si>
  <si>
    <t>PASSENGER TRAFFIC</t>
  </si>
  <si>
    <t>JANUARY</t>
  </si>
  <si>
    <t>FEBRUARY</t>
  </si>
  <si>
    <t>AIRPORTS</t>
  </si>
  <si>
    <t>ARR</t>
  </si>
  <si>
    <t>DEP</t>
  </si>
  <si>
    <t>ABV. DOM</t>
  </si>
  <si>
    <t>ABV. INT'L</t>
  </si>
  <si>
    <t>PHC.DOM</t>
  </si>
  <si>
    <t>PHC.INT'L</t>
  </si>
  <si>
    <t>KAD.DOM</t>
  </si>
  <si>
    <t>KAD.INT'L</t>
  </si>
  <si>
    <t>CAL.DOM</t>
  </si>
  <si>
    <t>CAL.INT'L</t>
  </si>
  <si>
    <t>SOK.DOM</t>
  </si>
  <si>
    <t>SOK.INT'L</t>
  </si>
  <si>
    <t>MAID.DOM</t>
  </si>
  <si>
    <t>MAID.INT'L</t>
  </si>
  <si>
    <t>SEPTEMBER</t>
  </si>
  <si>
    <t>OCTOBER</t>
  </si>
  <si>
    <t>NOVEMBER</t>
  </si>
  <si>
    <t>DECEMBER</t>
  </si>
  <si>
    <t>G.TOTAL 09</t>
  </si>
  <si>
    <t>ANNUAL (ARR- DEP) 2010</t>
  </si>
  <si>
    <t>PREPARED BY: ABIOLA ALAKA</t>
  </si>
  <si>
    <t>ASS. EXECUTIVE OFFICER</t>
  </si>
  <si>
    <t>CHECKED BY: LAWAL ABDULLAHI</t>
  </si>
  <si>
    <t>ANNUAL REPORT (ARR-DEP) 2010</t>
  </si>
  <si>
    <t>MAIL MOVEMENT (KG) JAN -DEC 2010</t>
  </si>
  <si>
    <t>SENIOR OPERATIONS OFFICER</t>
  </si>
  <si>
    <t xml:space="preserve"> </t>
  </si>
  <si>
    <t>DOMESTIC PASSENGER TRAFFFIC</t>
  </si>
  <si>
    <t>INTERNATIONAL PASSENGER TRAFFFIC</t>
  </si>
  <si>
    <t>DOMESTIC AIRCRAFT MOVEMENT</t>
  </si>
  <si>
    <t>INTERNATIONAL AIRCRAFT MOVEMENT</t>
  </si>
  <si>
    <t>G. TOTAL</t>
  </si>
  <si>
    <t>AUGUST</t>
  </si>
  <si>
    <t xml:space="preserve">G.TOTAL </t>
  </si>
  <si>
    <t>TOTAL09</t>
  </si>
  <si>
    <t>CBQ</t>
  </si>
  <si>
    <t>ANNUAL REPORT 2010</t>
  </si>
  <si>
    <t>DEPARTING PASSENGER TRAFFIC</t>
  </si>
  <si>
    <t>PREPARED BY: ALAKA ABIOLA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</si>
</sst>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(* #,##0_);_(* \(#,##0\);_(* &quot;-&quot;??_);_(@_)"/>
    <numFmt numFmtId="165" formatCode="#,##0;[Red]#,##0"/>
    <numFmt numFmtId="166" formatCode="0;[Red]0"/>
    <numFmt numFmtId="167" formatCode="_(* #,##0.0_);_(* \(#,##0.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111">
    <xf numFmtId="0" fontId="0" fillId="0" borderId="0" xfId="0"/>
    <xf numFmtId="0" fontId="2" fillId="0" borderId="2" xfId="0" applyFont="1" applyBorder="1"/>
    <xf numFmtId="0" fontId="2" fillId="0" borderId="2" xfId="0" applyFont="1" applyBorder="1"/>
    <xf numFmtId="164" fontId="0" fillId="0" borderId="2" xfId="1" applyNumberFormat="1" applyFont="1" applyBorder="1"/>
    <xf numFmtId="165" fontId="0" fillId="0" borderId="2" xfId="1" applyNumberFormat="1" applyFont="1" applyBorder="1"/>
    <xf numFmtId="164" fontId="2" fillId="0" borderId="2" xfId="1" applyNumberFormat="1" applyFont="1" applyBorder="1"/>
    <xf numFmtId="166" fontId="0" fillId="0" borderId="2" xfId="1" applyNumberFormat="1" applyFont="1" applyBorder="1"/>
    <xf numFmtId="166" fontId="0" fillId="0" borderId="4" xfId="1" applyNumberFormat="1" applyFont="1" applyFill="1" applyBorder="1"/>
    <xf numFmtId="166" fontId="0" fillId="0" borderId="5" xfId="1" applyNumberFormat="1" applyFont="1" applyFill="1" applyBorder="1"/>
    <xf numFmtId="165" fontId="0" fillId="0" borderId="2" xfId="1" applyNumberFormat="1" applyFont="1" applyBorder="1" applyProtection="1">
      <protection locked="0"/>
    </xf>
    <xf numFmtId="164" fontId="0" fillId="0" borderId="0" xfId="1" applyNumberFormat="1" applyFont="1"/>
    <xf numFmtId="0" fontId="0" fillId="0" borderId="0" xfId="0"/>
    <xf numFmtId="0" fontId="2" fillId="0" borderId="2" xfId="0" applyFont="1" applyBorder="1"/>
    <xf numFmtId="164" fontId="0" fillId="0" borderId="2" xfId="1" applyNumberFormat="1" applyFont="1" applyBorder="1"/>
    <xf numFmtId="165" fontId="0" fillId="0" borderId="2" xfId="1" applyNumberFormat="1" applyFont="1" applyBorder="1"/>
    <xf numFmtId="0" fontId="2" fillId="0" borderId="3" xfId="0" applyFont="1" applyBorder="1"/>
    <xf numFmtId="166" fontId="0" fillId="0" borderId="2" xfId="1" applyNumberFormat="1" applyFont="1" applyBorder="1"/>
    <xf numFmtId="0" fontId="0" fillId="0" borderId="2" xfId="0" applyBorder="1"/>
    <xf numFmtId="167" fontId="2" fillId="0" borderId="2" xfId="1" applyNumberFormat="1" applyFont="1" applyBorder="1"/>
    <xf numFmtId="167" fontId="0" fillId="0" borderId="2" xfId="1" applyNumberFormat="1" applyFont="1" applyBorder="1"/>
    <xf numFmtId="167" fontId="0" fillId="0" borderId="2" xfId="1" applyNumberFormat="1" applyFont="1" applyBorder="1" applyAlignment="1">
      <alignment horizontal="right"/>
    </xf>
    <xf numFmtId="166" fontId="0" fillId="0" borderId="2" xfId="0" applyNumberFormat="1" applyBorder="1"/>
    <xf numFmtId="164" fontId="0" fillId="0" borderId="2" xfId="0" applyNumberFormat="1" applyBorder="1"/>
    <xf numFmtId="164" fontId="2" fillId="0" borderId="2" xfId="0" applyNumberFormat="1" applyFont="1" applyBorder="1"/>
    <xf numFmtId="165" fontId="0" fillId="0" borderId="2" xfId="0" applyNumberFormat="1" applyBorder="1"/>
    <xf numFmtId="167" fontId="0" fillId="0" borderId="2" xfId="0" applyNumberFormat="1" applyBorder="1"/>
    <xf numFmtId="43" fontId="0" fillId="0" borderId="2" xfId="0" applyNumberFormat="1" applyBorder="1"/>
    <xf numFmtId="164" fontId="4" fillId="0" borderId="2" xfId="1" applyNumberFormat="1" applyFont="1" applyBorder="1"/>
    <xf numFmtId="164" fontId="4" fillId="0" borderId="2" xfId="2" applyNumberFormat="1" applyFont="1" applyBorder="1"/>
    <xf numFmtId="165" fontId="4" fillId="0" borderId="2" xfId="2" applyNumberFormat="1" applyFont="1" applyBorder="1"/>
    <xf numFmtId="165" fontId="4" fillId="0" borderId="2" xfId="1" applyNumberFormat="1" applyFont="1" applyBorder="1"/>
    <xf numFmtId="1" fontId="4" fillId="0" borderId="2" xfId="2" applyNumberFormat="1" applyFont="1" applyBorder="1"/>
    <xf numFmtId="1" fontId="0" fillId="0" borderId="2" xfId="1" applyNumberFormat="1" applyFont="1" applyBorder="1"/>
    <xf numFmtId="0" fontId="5" fillId="0" borderId="2" xfId="3" applyFont="1" applyBorder="1"/>
    <xf numFmtId="0" fontId="7" fillId="0" borderId="2" xfId="3" applyFont="1" applyBorder="1"/>
    <xf numFmtId="0" fontId="7" fillId="0" borderId="9" xfId="3" applyFont="1" applyBorder="1"/>
    <xf numFmtId="0" fontId="7" fillId="0" borderId="2" xfId="3" applyFont="1" applyFill="1" applyBorder="1"/>
    <xf numFmtId="164" fontId="8" fillId="0" borderId="2" xfId="1" applyNumberFormat="1" applyFont="1" applyBorder="1"/>
    <xf numFmtId="164" fontId="8" fillId="0" borderId="0" xfId="1" applyNumberFormat="1" applyFont="1"/>
    <xf numFmtId="166" fontId="4" fillId="0" borderId="2" xfId="2" applyNumberFormat="1" applyFont="1" applyBorder="1"/>
    <xf numFmtId="164" fontId="7" fillId="0" borderId="2" xfId="2" applyNumberFormat="1" applyFont="1" applyBorder="1"/>
    <xf numFmtId="0" fontId="4" fillId="0" borderId="2" xfId="3" applyFont="1" applyBorder="1"/>
    <xf numFmtId="164" fontId="2" fillId="0" borderId="2" xfId="0" applyNumberFormat="1" applyFont="1" applyFill="1" applyBorder="1"/>
    <xf numFmtId="0" fontId="2" fillId="0" borderId="0" xfId="0" applyFont="1"/>
    <xf numFmtId="0" fontId="7" fillId="0" borderId="9" xfId="3" applyFont="1" applyFill="1" applyBorder="1"/>
    <xf numFmtId="2" fontId="0" fillId="0" borderId="2" xfId="0" applyNumberFormat="1" applyBorder="1"/>
    <xf numFmtId="164" fontId="1" fillId="0" borderId="2" xfId="1" applyNumberFormat="1" applyFont="1" applyBorder="1"/>
    <xf numFmtId="167" fontId="1" fillId="0" borderId="2" xfId="1" applyNumberFormat="1" applyFont="1" applyBorder="1"/>
    <xf numFmtId="165" fontId="1" fillId="0" borderId="2" xfId="1" applyNumberFormat="1" applyFont="1" applyBorder="1"/>
    <xf numFmtId="166" fontId="1" fillId="0" borderId="2" xfId="1" applyNumberFormat="1" applyFont="1" applyBorder="1"/>
    <xf numFmtId="165" fontId="1" fillId="0" borderId="4" xfId="1" applyNumberFormat="1" applyFont="1" applyFill="1" applyBorder="1"/>
    <xf numFmtId="164" fontId="10" fillId="0" borderId="2" xfId="1" applyNumberFormat="1" applyFont="1" applyBorder="1"/>
    <xf numFmtId="164" fontId="10" fillId="0" borderId="2" xfId="2" applyNumberFormat="1" applyFont="1" applyBorder="1"/>
    <xf numFmtId="165" fontId="10" fillId="0" borderId="2" xfId="2" applyNumberFormat="1" applyFont="1" applyBorder="1"/>
    <xf numFmtId="165" fontId="10" fillId="0" borderId="2" xfId="1" applyNumberFormat="1" applyFont="1" applyBorder="1"/>
    <xf numFmtId="1" fontId="10" fillId="0" borderId="2" xfId="2" applyNumberFormat="1" applyFont="1" applyBorder="1"/>
    <xf numFmtId="164" fontId="2" fillId="0" borderId="6" xfId="1" applyNumberFormat="1" applyFont="1" applyBorder="1"/>
    <xf numFmtId="0" fontId="0" fillId="0" borderId="0" xfId="0" applyBorder="1"/>
    <xf numFmtId="164" fontId="1" fillId="0" borderId="0" xfId="1" applyNumberFormat="1" applyFont="1" applyFill="1" applyBorder="1"/>
    <xf numFmtId="167" fontId="1" fillId="0" borderId="0" xfId="1" applyNumberFormat="1" applyFont="1" applyBorder="1"/>
    <xf numFmtId="164" fontId="4" fillId="2" borderId="2" xfId="2" applyNumberFormat="1" applyFont="1" applyFill="1" applyBorder="1"/>
    <xf numFmtId="164" fontId="12" fillId="0" borderId="2" xfId="1" applyNumberFormat="1" applyFont="1" applyBorder="1"/>
    <xf numFmtId="164" fontId="11" fillId="0" borderId="2" xfId="0" applyNumberFormat="1" applyFont="1" applyBorder="1"/>
    <xf numFmtId="165" fontId="11" fillId="0" borderId="2" xfId="0" applyNumberFormat="1" applyFont="1" applyBorder="1"/>
    <xf numFmtId="43" fontId="2" fillId="0" borderId="2" xfId="0" applyNumberFormat="1" applyFont="1" applyBorder="1"/>
    <xf numFmtId="2" fontId="2" fillId="0" borderId="2" xfId="0" applyNumberFormat="1" applyFont="1" applyBorder="1"/>
    <xf numFmtId="0" fontId="7" fillId="0" borderId="10" xfId="3" applyFont="1" applyBorder="1"/>
    <xf numFmtId="164" fontId="0" fillId="0" borderId="6" xfId="1" applyNumberFormat="1" applyFont="1" applyBorder="1"/>
    <xf numFmtId="166" fontId="0" fillId="0" borderId="6" xfId="1" applyNumberFormat="1" applyFont="1" applyBorder="1"/>
    <xf numFmtId="164" fontId="8" fillId="0" borderId="6" xfId="1" applyNumberFormat="1" applyFont="1" applyBorder="1"/>
    <xf numFmtId="0" fontId="7" fillId="0" borderId="11" xfId="3" applyFont="1" applyBorder="1"/>
    <xf numFmtId="164" fontId="0" fillId="0" borderId="8" xfId="1" applyNumberFormat="1" applyFont="1" applyBorder="1"/>
    <xf numFmtId="166" fontId="0" fillId="0" borderId="8" xfId="1" applyNumberFormat="1" applyFont="1" applyBorder="1"/>
    <xf numFmtId="164" fontId="2" fillId="0" borderId="8" xfId="1" applyNumberFormat="1" applyFont="1" applyBorder="1"/>
    <xf numFmtId="164" fontId="10" fillId="0" borderId="2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2" xfId="0" applyFont="1" applyBorder="1" applyAlignment="1"/>
    <xf numFmtId="0" fontId="2" fillId="0" borderId="9" xfId="0" applyFont="1" applyBorder="1"/>
    <xf numFmtId="0" fontId="6" fillId="0" borderId="0" xfId="3" applyFont="1" applyAlignment="1"/>
    <xf numFmtId="0" fontId="13" fillId="0" borderId="2" xfId="0" applyFont="1" applyBorder="1" applyAlignment="1"/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164" fontId="0" fillId="0" borderId="0" xfId="0" applyNumberFormat="1"/>
    <xf numFmtId="165" fontId="0" fillId="0" borderId="0" xfId="0" applyNumberFormat="1"/>
    <xf numFmtId="0" fontId="7" fillId="0" borderId="6" xfId="3" applyFont="1" applyBorder="1" applyAlignment="1"/>
    <xf numFmtId="0" fontId="2" fillId="0" borderId="6" xfId="0" applyFont="1" applyBorder="1" applyAlignment="1"/>
    <xf numFmtId="0" fontId="2" fillId="0" borderId="0" xfId="0" applyFont="1" applyFill="1" applyBorder="1" applyAlignment="1"/>
    <xf numFmtId="164" fontId="0" fillId="0" borderId="0" xfId="0" applyNumberFormat="1" applyBorder="1"/>
    <xf numFmtId="164" fontId="0" fillId="0" borderId="0" xfId="1" applyNumberFormat="1" applyFont="1" applyBorder="1"/>
    <xf numFmtId="2" fontId="0" fillId="0" borderId="0" xfId="0" applyNumberFormat="1" applyBorder="1"/>
    <xf numFmtId="166" fontId="0" fillId="0" borderId="0" xfId="0" applyNumberFormat="1" applyBorder="1"/>
    <xf numFmtId="165" fontId="0" fillId="0" borderId="0" xfId="0" applyNumberFormat="1" applyBorder="1"/>
    <xf numFmtId="164" fontId="2" fillId="0" borderId="0" xfId="0" applyNumberFormat="1" applyFont="1" applyBorder="1"/>
    <xf numFmtId="164" fontId="2" fillId="0" borderId="0" xfId="1" applyNumberFormat="1" applyFont="1" applyBorder="1"/>
    <xf numFmtId="2" fontId="2" fillId="0" borderId="0" xfId="0" applyNumberFormat="1" applyFont="1" applyBorder="1"/>
    <xf numFmtId="0" fontId="2" fillId="0" borderId="2" xfId="0" applyFont="1" applyFill="1" applyBorder="1" applyAlignment="1"/>
    <xf numFmtId="167" fontId="2" fillId="0" borderId="9" xfId="1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7" fillId="0" borderId="2" xfId="3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0" xfId="3" applyFont="1" applyAlignment="1">
      <alignment horizontal="center"/>
    </xf>
    <xf numFmtId="0" fontId="13" fillId="0" borderId="2" xfId="0" applyFont="1" applyBorder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1"/>
  <sheetViews>
    <sheetView workbookViewId="0">
      <pane xSplit="1" topLeftCell="B1" activePane="topRight" state="frozen"/>
      <selection pane="topRight" activeCell="G44" sqref="G44"/>
    </sheetView>
  </sheetViews>
  <sheetFormatPr defaultRowHeight="15"/>
  <cols>
    <col min="1" max="1" width="14" customWidth="1"/>
    <col min="2" max="2" width="10.5703125" customWidth="1"/>
    <col min="3" max="3" width="9" customWidth="1"/>
    <col min="4" max="11" width="10.5703125" customWidth="1"/>
    <col min="12" max="12" width="10.42578125" customWidth="1"/>
    <col min="13" max="13" width="11" customWidth="1"/>
    <col min="14" max="14" width="11.5703125" customWidth="1"/>
    <col min="15" max="15" width="12.5703125" customWidth="1"/>
    <col min="16" max="16" width="13.85546875" customWidth="1"/>
    <col min="18" max="18" width="10.5703125" bestFit="1" customWidth="1"/>
  </cols>
  <sheetData>
    <row r="1" spans="1:18" ht="18.7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8" ht="18.7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18" ht="18.75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8" ht="18.75">
      <c r="A4" s="100" t="s">
        <v>62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8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2" t="s">
        <v>63</v>
      </c>
      <c r="P5" s="1" t="s">
        <v>17</v>
      </c>
    </row>
    <row r="6" spans="1:18">
      <c r="A6" s="1" t="s">
        <v>18</v>
      </c>
      <c r="B6" s="46">
        <f>274196+735</f>
        <v>274931</v>
      </c>
      <c r="C6" s="46">
        <f>129531+130367</f>
        <v>259898</v>
      </c>
      <c r="D6" s="51">
        <f>268456+673</f>
        <v>269129</v>
      </c>
      <c r="E6" s="46">
        <f>321939+492</f>
        <v>322431</v>
      </c>
      <c r="F6" s="46">
        <v>316723</v>
      </c>
      <c r="G6" s="46">
        <f>314962+459</f>
        <v>315421</v>
      </c>
      <c r="H6" s="46">
        <f>351667+310</f>
        <v>351977</v>
      </c>
      <c r="I6" s="46">
        <f>361993+437</f>
        <v>362430</v>
      </c>
      <c r="J6" s="46">
        <f>325090+285</f>
        <v>325375</v>
      </c>
      <c r="K6" s="46">
        <v>341986</v>
      </c>
      <c r="L6" s="46">
        <f>334587+502</f>
        <v>335089</v>
      </c>
      <c r="M6" s="46">
        <f>388651+417</f>
        <v>389068</v>
      </c>
      <c r="N6" s="46">
        <f t="shared" ref="N6:N13" si="0">SUM(B6:M6)</f>
        <v>3864458</v>
      </c>
      <c r="O6" s="46">
        <v>3320103</v>
      </c>
      <c r="P6" s="47">
        <f>(N6-O6)*100/N6</f>
        <v>14.086192682130328</v>
      </c>
    </row>
    <row r="7" spans="1:18">
      <c r="A7" s="1" t="s">
        <v>19</v>
      </c>
      <c r="B7" s="46">
        <f>191709+160</f>
        <v>191869</v>
      </c>
      <c r="C7" s="46">
        <f>74812+81467</f>
        <v>156279</v>
      </c>
      <c r="D7" s="51">
        <f>182382+2177</f>
        <v>184559</v>
      </c>
      <c r="E7" s="46">
        <f>178827+1838</f>
        <v>180665</v>
      </c>
      <c r="F7" s="46">
        <v>180560</v>
      </c>
      <c r="G7" s="46">
        <f>179785+2159</f>
        <v>181944</v>
      </c>
      <c r="H7" s="46">
        <f>222618+208</f>
        <v>222826</v>
      </c>
      <c r="I7" s="46">
        <f>239387+948</f>
        <v>240335</v>
      </c>
      <c r="J7" s="46">
        <f>224251+240</f>
        <v>224491</v>
      </c>
      <c r="K7" s="46">
        <f>184950+760</f>
        <v>185710</v>
      </c>
      <c r="L7" s="46">
        <f>217916+1562</f>
        <v>219478</v>
      </c>
      <c r="M7" s="46">
        <f>238988+1383</f>
        <v>240371</v>
      </c>
      <c r="N7" s="46">
        <f t="shared" si="0"/>
        <v>2409087</v>
      </c>
      <c r="O7" s="46">
        <v>2324469</v>
      </c>
      <c r="P7" s="47">
        <f t="shared" ref="P7:P38" si="1">(N7-O7)*100/N7</f>
        <v>3.512450982467632</v>
      </c>
      <c r="R7" s="84"/>
    </row>
    <row r="8" spans="1:18">
      <c r="A8" s="1" t="s">
        <v>20</v>
      </c>
      <c r="B8" s="46">
        <v>238353</v>
      </c>
      <c r="C8" s="46">
        <f>222114+4523</f>
        <v>226637</v>
      </c>
      <c r="D8" s="52">
        <f>241538+2452</f>
        <v>243990</v>
      </c>
      <c r="E8" s="46">
        <f>261715+3448</f>
        <v>265163</v>
      </c>
      <c r="F8" s="46">
        <v>274528</v>
      </c>
      <c r="G8" s="46">
        <f>140447+131266</f>
        <v>271713</v>
      </c>
      <c r="H8" s="46">
        <f>282881+6721</f>
        <v>289602</v>
      </c>
      <c r="I8" s="46">
        <f>292932+5454</f>
        <v>298386</v>
      </c>
      <c r="J8" s="46">
        <v>325489</v>
      </c>
      <c r="K8" s="46">
        <v>299630</v>
      </c>
      <c r="L8" s="46">
        <v>303223</v>
      </c>
      <c r="M8" s="46">
        <f>315740+8653</f>
        <v>324393</v>
      </c>
      <c r="N8" s="46">
        <f t="shared" si="0"/>
        <v>3361107</v>
      </c>
      <c r="O8" s="46">
        <v>2800464</v>
      </c>
      <c r="P8" s="47">
        <f t="shared" si="1"/>
        <v>16.680308005665989</v>
      </c>
    </row>
    <row r="9" spans="1:18">
      <c r="A9" s="1" t="s">
        <v>21</v>
      </c>
      <c r="B9" s="46">
        <f>36092+6755</f>
        <v>42847</v>
      </c>
      <c r="C9" s="46">
        <f>26975+4236</f>
        <v>31211</v>
      </c>
      <c r="D9" s="52">
        <f>33788+707</f>
        <v>34495</v>
      </c>
      <c r="E9" s="46">
        <f>32102+737</f>
        <v>32839</v>
      </c>
      <c r="F9" s="46">
        <v>41042</v>
      </c>
      <c r="G9" s="46">
        <f>37675+3121</f>
        <v>40796</v>
      </c>
      <c r="H9" s="46">
        <f>47123+2167</f>
        <v>49290</v>
      </c>
      <c r="I9" s="46">
        <f>47236+4739</f>
        <v>51975</v>
      </c>
      <c r="J9" s="46">
        <v>71616</v>
      </c>
      <c r="K9" s="46">
        <v>55423</v>
      </c>
      <c r="L9" s="46">
        <v>55048</v>
      </c>
      <c r="M9" s="46">
        <f>47629+7229</f>
        <v>54858</v>
      </c>
      <c r="N9" s="46">
        <f t="shared" si="0"/>
        <v>561440</v>
      </c>
      <c r="O9" s="46">
        <v>395974</v>
      </c>
      <c r="P9" s="47">
        <f t="shared" si="1"/>
        <v>29.471715588486749</v>
      </c>
    </row>
    <row r="10" spans="1:18">
      <c r="A10" s="1" t="s">
        <v>22</v>
      </c>
      <c r="B10" s="46">
        <f>83783+2103</f>
        <v>85886</v>
      </c>
      <c r="C10" s="46">
        <f>80412+2347</f>
        <v>82759</v>
      </c>
      <c r="D10" s="52">
        <f>90953+2597</f>
        <v>93550</v>
      </c>
      <c r="E10" s="46">
        <f>97979+2938</f>
        <v>100917</v>
      </c>
      <c r="F10" s="46">
        <v>95406</v>
      </c>
      <c r="G10" s="46">
        <f>46577+46416</f>
        <v>92993</v>
      </c>
      <c r="H10" s="46">
        <f>100942+2170</f>
        <v>103112</v>
      </c>
      <c r="I10" s="46">
        <f>108986+2610</f>
        <v>111596</v>
      </c>
      <c r="J10" s="46">
        <f>101025+2886</f>
        <v>103911</v>
      </c>
      <c r="K10" s="46">
        <f>98821+3327</f>
        <v>102148</v>
      </c>
      <c r="L10" s="46">
        <f>103732+2670</f>
        <v>106402</v>
      </c>
      <c r="M10" s="46">
        <f>116560+3428</f>
        <v>119988</v>
      </c>
      <c r="N10" s="46">
        <f t="shared" si="0"/>
        <v>1198668</v>
      </c>
      <c r="O10" s="46">
        <v>1034506</v>
      </c>
      <c r="P10" s="47">
        <f t="shared" si="1"/>
        <v>13.695368525730228</v>
      </c>
    </row>
    <row r="11" spans="1:18">
      <c r="A11" s="1" t="s">
        <v>23</v>
      </c>
      <c r="B11" s="48">
        <f>2723</f>
        <v>2723</v>
      </c>
      <c r="C11" s="48">
        <f>635+25</f>
        <v>660</v>
      </c>
      <c r="D11" s="51">
        <f>149+6</f>
        <v>155</v>
      </c>
      <c r="E11" s="46">
        <f>180+6</f>
        <v>186</v>
      </c>
      <c r="F11" s="46">
        <v>182</v>
      </c>
      <c r="G11" s="46">
        <f>97+7</f>
        <v>104</v>
      </c>
      <c r="H11" s="46">
        <f>287+16</f>
        <v>303</v>
      </c>
      <c r="I11" s="46">
        <f>172+2</f>
        <v>174</v>
      </c>
      <c r="J11" s="46">
        <f>199+60</f>
        <v>259</v>
      </c>
      <c r="K11" s="46">
        <f>300+4</f>
        <v>304</v>
      </c>
      <c r="L11" s="46">
        <f>304+1456</f>
        <v>1760</v>
      </c>
      <c r="M11" s="46">
        <f>357+5981</f>
        <v>6338</v>
      </c>
      <c r="N11" s="46">
        <f t="shared" si="0"/>
        <v>13148</v>
      </c>
      <c r="O11" s="46">
        <v>47081</v>
      </c>
      <c r="P11" s="47">
        <f t="shared" si="1"/>
        <v>-258.08487982963186</v>
      </c>
    </row>
    <row r="12" spans="1:18">
      <c r="A12" s="1" t="s">
        <v>24</v>
      </c>
      <c r="B12" s="46">
        <f>16674+330</f>
        <v>17004</v>
      </c>
      <c r="C12" s="46">
        <f>15424+144</f>
        <v>15568</v>
      </c>
      <c r="D12" s="52">
        <f>15452+424</f>
        <v>15876</v>
      </c>
      <c r="E12" s="46">
        <f>17907+433</f>
        <v>18340</v>
      </c>
      <c r="F12" s="46">
        <v>17003</v>
      </c>
      <c r="G12" s="46">
        <f>16957+338</f>
        <v>17295</v>
      </c>
      <c r="H12" s="46">
        <f>11010+9946+183+151</f>
        <v>21290</v>
      </c>
      <c r="I12" s="46">
        <f>21877+214</f>
        <v>22091</v>
      </c>
      <c r="J12" s="46">
        <f>22234+215</f>
        <v>22449</v>
      </c>
      <c r="K12" s="46">
        <f>22559+590</f>
        <v>23149</v>
      </c>
      <c r="L12" s="46">
        <f>22111+606</f>
        <v>22717</v>
      </c>
      <c r="M12" s="46">
        <f>21591+623</f>
        <v>22214</v>
      </c>
      <c r="N12" s="46">
        <f t="shared" si="0"/>
        <v>234996</v>
      </c>
      <c r="O12" s="46">
        <v>188722</v>
      </c>
      <c r="P12" s="47">
        <f t="shared" si="1"/>
        <v>19.691399002536212</v>
      </c>
    </row>
    <row r="13" spans="1:18">
      <c r="A13" s="1" t="s">
        <v>25</v>
      </c>
      <c r="B13" s="46">
        <f>5957+12</f>
        <v>5969</v>
      </c>
      <c r="C13" s="46">
        <f>7042+4</f>
        <v>7046</v>
      </c>
      <c r="D13" s="52">
        <f>7238+59</f>
        <v>7297</v>
      </c>
      <c r="E13" s="46">
        <f>8441+8</f>
        <v>8449</v>
      </c>
      <c r="F13" s="46">
        <v>9331</v>
      </c>
      <c r="G13" s="46">
        <f>9275+39</f>
        <v>9314</v>
      </c>
      <c r="H13" s="46">
        <f>4868+4330+37+6</f>
        <v>9241</v>
      </c>
      <c r="I13" s="46">
        <f>17982+130</f>
        <v>18112</v>
      </c>
      <c r="J13" s="46">
        <f>26188+25</f>
        <v>26213</v>
      </c>
      <c r="K13" s="46">
        <f>11730+75</f>
        <v>11805</v>
      </c>
      <c r="L13" s="46">
        <f>17980+106</f>
        <v>18086</v>
      </c>
      <c r="M13" s="46">
        <f>13110+2857+15</f>
        <v>15982</v>
      </c>
      <c r="N13" s="46">
        <f t="shared" si="0"/>
        <v>146845</v>
      </c>
      <c r="O13" s="46">
        <v>134760</v>
      </c>
      <c r="P13" s="47">
        <f t="shared" si="1"/>
        <v>8.2297660798801449</v>
      </c>
    </row>
    <row r="14" spans="1:18">
      <c r="A14" s="1" t="s">
        <v>26</v>
      </c>
      <c r="B14" s="46"/>
      <c r="C14" s="46"/>
      <c r="D14" s="53"/>
      <c r="E14" s="49"/>
      <c r="F14" s="49"/>
      <c r="G14" s="49"/>
      <c r="H14" s="46"/>
      <c r="I14" s="46"/>
      <c r="J14" s="46"/>
      <c r="K14" s="46"/>
      <c r="L14" s="46"/>
      <c r="M14" s="46"/>
      <c r="N14" s="46"/>
      <c r="O14" s="46">
        <v>366592</v>
      </c>
      <c r="P14" s="47"/>
    </row>
    <row r="15" spans="1:18">
      <c r="A15" s="1" t="s">
        <v>27</v>
      </c>
      <c r="B15" s="46">
        <f>28614+43</f>
        <v>28657</v>
      </c>
      <c r="C15" s="46">
        <f>29078+64</f>
        <v>29142</v>
      </c>
      <c r="D15" s="52">
        <f>31230+240</f>
        <v>31470</v>
      </c>
      <c r="E15" s="46">
        <f>35366+315</f>
        <v>35681</v>
      </c>
      <c r="F15" s="46">
        <v>28747</v>
      </c>
      <c r="G15" s="46">
        <f>36013+272</f>
        <v>36285</v>
      </c>
      <c r="H15" s="46">
        <f>30511+141</f>
        <v>30652</v>
      </c>
      <c r="I15" s="46">
        <f>26523+375</f>
        <v>26898</v>
      </c>
      <c r="J15" s="46">
        <f>25566+269</f>
        <v>25835</v>
      </c>
      <c r="K15" s="46">
        <f>28745</f>
        <v>28745</v>
      </c>
      <c r="L15" s="46"/>
      <c r="M15" s="46">
        <f>40252+969</f>
        <v>41221</v>
      </c>
      <c r="N15" s="46">
        <f t="shared" ref="N15:N37" si="2">SUM(B15:M15)</f>
        <v>343333</v>
      </c>
      <c r="O15" s="46">
        <v>417041</v>
      </c>
      <c r="P15" s="47">
        <f t="shared" si="1"/>
        <v>-21.468370357641124</v>
      </c>
    </row>
    <row r="16" spans="1:18">
      <c r="A16" s="1" t="s">
        <v>28</v>
      </c>
      <c r="B16" s="46">
        <f>13108+177</f>
        <v>13285</v>
      </c>
      <c r="C16" s="46">
        <f>12637+265</f>
        <v>12902</v>
      </c>
      <c r="D16" s="52">
        <f>12516+1158</f>
        <v>13674</v>
      </c>
      <c r="E16" s="46">
        <f>16929+387</f>
        <v>17316</v>
      </c>
      <c r="F16" s="46">
        <v>16365</v>
      </c>
      <c r="G16" s="46">
        <v>14562</v>
      </c>
      <c r="H16" s="48">
        <v>17208</v>
      </c>
      <c r="I16" s="48">
        <f>20378+404</f>
        <v>20782</v>
      </c>
      <c r="J16" s="48">
        <v>15971</v>
      </c>
      <c r="K16" s="48">
        <f>14017+1166</f>
        <v>15183</v>
      </c>
      <c r="L16" s="48">
        <f>12856+307</f>
        <v>13163</v>
      </c>
      <c r="M16" s="48">
        <f>14228+658</f>
        <v>14886</v>
      </c>
      <c r="N16" s="48">
        <f t="shared" si="2"/>
        <v>185297</v>
      </c>
      <c r="O16" s="48">
        <v>146028</v>
      </c>
      <c r="P16" s="47">
        <f t="shared" si="1"/>
        <v>21.192463990242693</v>
      </c>
    </row>
    <row r="17" spans="1:16">
      <c r="A17" s="1" t="s">
        <v>29</v>
      </c>
      <c r="B17" s="48">
        <v>0</v>
      </c>
      <c r="C17" s="48">
        <f>0</f>
        <v>0</v>
      </c>
      <c r="D17" s="54">
        <v>0</v>
      </c>
      <c r="E17" s="49">
        <v>0</v>
      </c>
      <c r="F17" s="49">
        <v>0</v>
      </c>
      <c r="G17" s="49">
        <v>0</v>
      </c>
      <c r="H17" s="48">
        <v>0</v>
      </c>
      <c r="I17" s="48">
        <v>0</v>
      </c>
      <c r="J17" s="48">
        <v>1581</v>
      </c>
      <c r="K17" s="50">
        <f>4364</f>
        <v>4364</v>
      </c>
      <c r="L17" s="46">
        <v>5246</v>
      </c>
      <c r="M17" s="48">
        <v>9564</v>
      </c>
      <c r="N17" s="46">
        <f t="shared" si="2"/>
        <v>20755</v>
      </c>
      <c r="O17" s="46">
        <v>21488</v>
      </c>
      <c r="P17" s="47">
        <f t="shared" si="1"/>
        <v>-3.5316791134666348</v>
      </c>
    </row>
    <row r="18" spans="1:16">
      <c r="A18" s="1" t="s">
        <v>30</v>
      </c>
      <c r="B18" s="46">
        <f>22613+952</f>
        <v>23565</v>
      </c>
      <c r="C18" s="46">
        <v>25188</v>
      </c>
      <c r="D18" s="52">
        <f>21950</f>
        <v>21950</v>
      </c>
      <c r="E18" s="46">
        <f>24821</f>
        <v>24821</v>
      </c>
      <c r="F18" s="46">
        <v>23211</v>
      </c>
      <c r="G18" s="46">
        <v>20873</v>
      </c>
      <c r="H18" s="46">
        <v>19075</v>
      </c>
      <c r="I18" s="46">
        <v>24196</v>
      </c>
      <c r="J18" s="46">
        <v>21171</v>
      </c>
      <c r="K18" s="46">
        <v>21916</v>
      </c>
      <c r="L18" s="46">
        <v>23473</v>
      </c>
      <c r="M18" s="46">
        <f>18691+11790+878+758</f>
        <v>32117</v>
      </c>
      <c r="N18" s="46">
        <f t="shared" si="2"/>
        <v>281556</v>
      </c>
      <c r="O18" s="46">
        <v>316061</v>
      </c>
      <c r="P18" s="47">
        <f t="shared" si="1"/>
        <v>-12.255110883802868</v>
      </c>
    </row>
    <row r="19" spans="1:16">
      <c r="A19" s="1" t="s">
        <v>31</v>
      </c>
      <c r="B19" s="46">
        <f>60</f>
        <v>60</v>
      </c>
      <c r="C19" s="46">
        <v>84</v>
      </c>
      <c r="D19" s="55">
        <v>56</v>
      </c>
      <c r="E19" s="46">
        <v>62</v>
      </c>
      <c r="F19" s="49">
        <v>0</v>
      </c>
      <c r="G19" s="49">
        <v>54</v>
      </c>
      <c r="H19" s="48">
        <v>2</v>
      </c>
      <c r="I19" s="48">
        <v>0</v>
      </c>
      <c r="J19" s="48">
        <v>0</v>
      </c>
      <c r="K19" s="48">
        <v>0</v>
      </c>
      <c r="L19" s="48">
        <v>0</v>
      </c>
      <c r="M19" s="48">
        <f>31+30</f>
        <v>61</v>
      </c>
      <c r="N19" s="48">
        <f>SUM(B19:M19)</f>
        <v>379</v>
      </c>
      <c r="O19" s="46">
        <v>675</v>
      </c>
      <c r="P19" s="47">
        <f t="shared" si="1"/>
        <v>-78.100263852242747</v>
      </c>
    </row>
    <row r="20" spans="1:16">
      <c r="A20" s="1" t="s">
        <v>32</v>
      </c>
      <c r="B20" s="46">
        <f>4020+179</f>
        <v>4199</v>
      </c>
      <c r="C20" s="46">
        <f>3864+161</f>
        <v>4025</v>
      </c>
      <c r="D20" s="52">
        <f>4538+298</f>
        <v>4836</v>
      </c>
      <c r="E20" s="46">
        <v>5241</v>
      </c>
      <c r="F20" s="46">
        <v>4625</v>
      </c>
      <c r="G20" s="46">
        <f>4515+134</f>
        <v>4649</v>
      </c>
      <c r="H20" s="46">
        <f>5466+227</f>
        <v>5693</v>
      </c>
      <c r="I20" s="46">
        <f>5422+198</f>
        <v>5620</v>
      </c>
      <c r="J20" s="46">
        <v>4319</v>
      </c>
      <c r="K20" s="46">
        <f>5705+504</f>
        <v>6209</v>
      </c>
      <c r="L20" s="46">
        <f>5163+172</f>
        <v>5335</v>
      </c>
      <c r="M20" s="46">
        <f>5474+200</f>
        <v>5674</v>
      </c>
      <c r="N20" s="46">
        <f t="shared" si="2"/>
        <v>60425</v>
      </c>
      <c r="O20" s="46">
        <v>44984</v>
      </c>
      <c r="P20" s="47">
        <f t="shared" si="1"/>
        <v>25.553992552751346</v>
      </c>
    </row>
    <row r="21" spans="1:16">
      <c r="A21" s="1" t="s">
        <v>33</v>
      </c>
      <c r="B21" s="48">
        <f>0</f>
        <v>0</v>
      </c>
      <c r="C21" s="48">
        <v>0</v>
      </c>
      <c r="D21" s="55">
        <v>0</v>
      </c>
      <c r="E21" s="49">
        <v>0</v>
      </c>
      <c r="F21" s="49">
        <v>0</v>
      </c>
      <c r="G21" s="49">
        <v>0</v>
      </c>
      <c r="H21" s="48">
        <v>0</v>
      </c>
      <c r="I21" s="48">
        <v>1322</v>
      </c>
      <c r="J21" s="46">
        <v>2824</v>
      </c>
      <c r="K21" s="46">
        <f>17042</f>
        <v>17042</v>
      </c>
      <c r="L21" s="46">
        <v>7326</v>
      </c>
      <c r="M21" s="46">
        <v>11717</v>
      </c>
      <c r="N21" s="46">
        <f t="shared" si="2"/>
        <v>40231</v>
      </c>
      <c r="O21" s="46">
        <v>41356</v>
      </c>
      <c r="P21" s="47">
        <f t="shared" si="1"/>
        <v>-2.7963510725559892</v>
      </c>
    </row>
    <row r="22" spans="1:16">
      <c r="A22" s="1" t="s">
        <v>34</v>
      </c>
      <c r="B22" s="46">
        <f>24730+212</f>
        <v>24942</v>
      </c>
      <c r="C22" s="46">
        <f>25338+318</f>
        <v>25656</v>
      </c>
      <c r="D22" s="52">
        <f>24260+333</f>
        <v>24593</v>
      </c>
      <c r="E22" s="46">
        <f>28543+374</f>
        <v>28917</v>
      </c>
      <c r="F22" s="46">
        <v>27242</v>
      </c>
      <c r="G22" s="46">
        <f>13195+12784</f>
        <v>25979</v>
      </c>
      <c r="H22" s="46">
        <v>28672</v>
      </c>
      <c r="I22" s="46">
        <v>29423</v>
      </c>
      <c r="J22" s="46">
        <f>29423</f>
        <v>29423</v>
      </c>
      <c r="K22" s="46">
        <v>32928</v>
      </c>
      <c r="L22" s="13">
        <f>16960+15666+220+118</f>
        <v>32964</v>
      </c>
      <c r="M22" s="46">
        <f>36937+1230</f>
        <v>38167</v>
      </c>
      <c r="N22" s="46">
        <f t="shared" si="2"/>
        <v>348906</v>
      </c>
      <c r="O22" s="46">
        <v>308741</v>
      </c>
      <c r="P22" s="47">
        <f t="shared" si="1"/>
        <v>11.511696560105014</v>
      </c>
    </row>
    <row r="23" spans="1:16">
      <c r="A23" s="1" t="s">
        <v>35</v>
      </c>
      <c r="B23" s="46">
        <f>3838+4062</f>
        <v>7900</v>
      </c>
      <c r="C23" s="46">
        <f>7089+128</f>
        <v>7217</v>
      </c>
      <c r="D23" s="52">
        <f>7293+105</f>
        <v>7398</v>
      </c>
      <c r="E23" s="46">
        <f>8676+137</f>
        <v>8813</v>
      </c>
      <c r="F23" s="46">
        <v>8044</v>
      </c>
      <c r="G23" s="46">
        <f>4122+4186</f>
        <v>8308</v>
      </c>
      <c r="H23" s="46">
        <f>4378+4272+86+746</f>
        <v>9482</v>
      </c>
      <c r="I23" s="46">
        <f>4645+4626+275+170</f>
        <v>9716</v>
      </c>
      <c r="J23" s="46">
        <f>7460+111</f>
        <v>7571</v>
      </c>
      <c r="K23" s="46">
        <f>8288+298</f>
        <v>8586</v>
      </c>
      <c r="L23" s="46">
        <f>4330+4347</f>
        <v>8677</v>
      </c>
      <c r="M23" s="46">
        <v>15488</v>
      </c>
      <c r="N23" s="46">
        <f t="shared" si="2"/>
        <v>107200</v>
      </c>
      <c r="O23" s="46">
        <v>81517</v>
      </c>
      <c r="P23" s="47">
        <f t="shared" si="1"/>
        <v>23.958022388059703</v>
      </c>
    </row>
    <row r="24" spans="1:16">
      <c r="A24" s="1" t="s">
        <v>36</v>
      </c>
      <c r="B24" s="46">
        <v>15</v>
      </c>
      <c r="C24" s="48">
        <v>6</v>
      </c>
      <c r="D24" s="52">
        <f>45</f>
        <v>45</v>
      </c>
      <c r="E24" s="46">
        <v>15</v>
      </c>
      <c r="F24" s="46">
        <v>8</v>
      </c>
      <c r="G24" s="48">
        <v>0</v>
      </c>
      <c r="H24" s="48">
        <v>0</v>
      </c>
      <c r="I24" s="48">
        <v>2440</v>
      </c>
      <c r="J24" s="46">
        <v>2470</v>
      </c>
      <c r="K24" s="46">
        <f>6135+50</f>
        <v>6185</v>
      </c>
      <c r="L24" s="46">
        <v>3625</v>
      </c>
      <c r="M24" s="48">
        <v>0</v>
      </c>
      <c r="N24" s="46">
        <f t="shared" si="2"/>
        <v>14809</v>
      </c>
      <c r="O24" s="46">
        <v>15777</v>
      </c>
      <c r="P24" s="47">
        <f t="shared" si="1"/>
        <v>-6.5365656019987846</v>
      </c>
    </row>
    <row r="25" spans="1:16">
      <c r="A25" s="1" t="s">
        <v>37</v>
      </c>
      <c r="B25" s="46">
        <f>4936+1730</f>
        <v>6666</v>
      </c>
      <c r="C25" s="46">
        <f>4906+57</f>
        <v>4963</v>
      </c>
      <c r="D25" s="52">
        <f>5278+111</f>
        <v>5389</v>
      </c>
      <c r="E25" s="46">
        <f>7377+703</f>
        <v>8080</v>
      </c>
      <c r="F25" s="46">
        <v>8236</v>
      </c>
      <c r="G25" s="46">
        <f>7647+588</f>
        <v>8235</v>
      </c>
      <c r="H25" s="46">
        <f>7646+588</f>
        <v>8234</v>
      </c>
      <c r="I25" s="46">
        <f>8205+54</f>
        <v>8259</v>
      </c>
      <c r="J25" s="46">
        <f>7666+145</f>
        <v>7811</v>
      </c>
      <c r="K25" s="46">
        <f>2032+125</f>
        <v>2157</v>
      </c>
      <c r="L25" s="46">
        <f>4946+198</f>
        <v>5144</v>
      </c>
      <c r="M25" s="46">
        <f>1910+441</f>
        <v>2351</v>
      </c>
      <c r="N25" s="46">
        <f t="shared" si="2"/>
        <v>75525</v>
      </c>
      <c r="O25" s="46">
        <v>50564</v>
      </c>
      <c r="P25" s="47">
        <f t="shared" si="1"/>
        <v>33.049983449189007</v>
      </c>
    </row>
    <row r="26" spans="1:16">
      <c r="A26" s="1" t="s">
        <v>38</v>
      </c>
      <c r="B26" s="46">
        <f>27635+599</f>
        <v>28234</v>
      </c>
      <c r="C26" s="46">
        <f>29577+205</f>
        <v>29782</v>
      </c>
      <c r="D26" s="52">
        <f>18605+16514</f>
        <v>35119</v>
      </c>
      <c r="E26" s="46">
        <f>41202+695</f>
        <v>41897</v>
      </c>
      <c r="F26" s="46">
        <v>37153</v>
      </c>
      <c r="G26" s="46">
        <f>19221+18558</f>
        <v>37779</v>
      </c>
      <c r="H26" s="46">
        <f>39197+1566</f>
        <v>40763</v>
      </c>
      <c r="I26" s="46">
        <f>46337</f>
        <v>46337</v>
      </c>
      <c r="J26" s="46">
        <f>20907+20871</f>
        <v>41778</v>
      </c>
      <c r="K26" s="46">
        <v>45313</v>
      </c>
      <c r="L26" s="46">
        <f>20024+20382</f>
        <v>40406</v>
      </c>
      <c r="M26" s="46">
        <v>51502</v>
      </c>
      <c r="N26" s="46">
        <f t="shared" si="2"/>
        <v>476063</v>
      </c>
      <c r="O26" s="46">
        <v>276926</v>
      </c>
      <c r="P26" s="47">
        <f t="shared" si="1"/>
        <v>41.829967882402116</v>
      </c>
    </row>
    <row r="27" spans="1:16">
      <c r="A27" s="1" t="s">
        <v>39</v>
      </c>
      <c r="B27" s="46">
        <v>9205</v>
      </c>
      <c r="C27" s="46">
        <f>7165+41</f>
        <v>7206</v>
      </c>
      <c r="D27" s="52">
        <f>8094+1109</f>
        <v>9203</v>
      </c>
      <c r="E27" s="46">
        <f>5071+5158</f>
        <v>10229</v>
      </c>
      <c r="F27" s="46">
        <v>9137</v>
      </c>
      <c r="G27" s="46">
        <f>8601+750</f>
        <v>9351</v>
      </c>
      <c r="H27" s="46">
        <f>8502+57</f>
        <v>8559</v>
      </c>
      <c r="I27" s="46">
        <f>8969+92</f>
        <v>9061</v>
      </c>
      <c r="J27" s="46">
        <f>4422+4284</f>
        <v>8706</v>
      </c>
      <c r="K27" s="46">
        <f>8497+373</f>
        <v>8870</v>
      </c>
      <c r="L27" s="46">
        <f>8293+671</f>
        <v>8964</v>
      </c>
      <c r="M27" s="46">
        <f>9638+418</f>
        <v>10056</v>
      </c>
      <c r="N27" s="46">
        <f t="shared" si="2"/>
        <v>108547</v>
      </c>
      <c r="O27" s="46">
        <v>91038</v>
      </c>
      <c r="P27" s="47">
        <f t="shared" si="1"/>
        <v>16.130339852782665</v>
      </c>
    </row>
    <row r="28" spans="1:16">
      <c r="A28" s="1" t="s">
        <v>40</v>
      </c>
      <c r="B28" s="46">
        <v>0</v>
      </c>
      <c r="C28" s="48">
        <v>0</v>
      </c>
      <c r="D28" s="55">
        <v>0</v>
      </c>
      <c r="E28" s="49">
        <v>0</v>
      </c>
      <c r="F28" s="49">
        <v>0</v>
      </c>
      <c r="G28" s="49">
        <v>0</v>
      </c>
      <c r="H28" s="48">
        <v>0</v>
      </c>
      <c r="I28" s="48">
        <v>0</v>
      </c>
      <c r="J28" s="48">
        <f>552+352</f>
        <v>904</v>
      </c>
      <c r="K28" s="48">
        <v>4061</v>
      </c>
      <c r="L28" s="46">
        <v>4787</v>
      </c>
      <c r="M28" s="46">
        <v>324</v>
      </c>
      <c r="N28" s="46">
        <f t="shared" si="2"/>
        <v>10076</v>
      </c>
      <c r="O28" s="46">
        <v>17639</v>
      </c>
      <c r="P28" s="47">
        <f t="shared" si="1"/>
        <v>-75.059547439460104</v>
      </c>
    </row>
    <row r="29" spans="1:16">
      <c r="A29" s="1" t="s">
        <v>41</v>
      </c>
      <c r="B29" s="46">
        <f>3054+198</f>
        <v>3252</v>
      </c>
      <c r="C29" s="46">
        <f>2995+101</f>
        <v>3096</v>
      </c>
      <c r="D29" s="52">
        <f>2601+286</f>
        <v>2887</v>
      </c>
      <c r="E29" s="46">
        <f>2764+182</f>
        <v>2946</v>
      </c>
      <c r="F29" s="46">
        <v>2876</v>
      </c>
      <c r="G29" s="46">
        <f>2750+224</f>
        <v>2974</v>
      </c>
      <c r="H29" s="46">
        <f>3286+123</f>
        <v>3409</v>
      </c>
      <c r="I29" s="46">
        <f>3727+216</f>
        <v>3943</v>
      </c>
      <c r="J29" s="46">
        <f>3939+276</f>
        <v>4215</v>
      </c>
      <c r="K29" s="46">
        <v>4615</v>
      </c>
      <c r="L29" s="46">
        <v>4596</v>
      </c>
      <c r="M29" s="46">
        <f>2590+2362</f>
        <v>4952</v>
      </c>
      <c r="N29" s="46">
        <f t="shared" si="2"/>
        <v>43761</v>
      </c>
      <c r="O29" s="46">
        <v>24512</v>
      </c>
      <c r="P29" s="47">
        <f t="shared" si="1"/>
        <v>43.98665478394004</v>
      </c>
    </row>
    <row r="30" spans="1:16">
      <c r="A30" s="1" t="s">
        <v>42</v>
      </c>
      <c r="B30" s="48">
        <v>0</v>
      </c>
      <c r="C30" s="48">
        <v>0</v>
      </c>
      <c r="D30" s="55">
        <v>0</v>
      </c>
      <c r="E30" s="49">
        <v>0</v>
      </c>
      <c r="F30" s="49">
        <v>0</v>
      </c>
      <c r="G30" s="49">
        <v>0</v>
      </c>
      <c r="H30" s="48">
        <v>0</v>
      </c>
      <c r="I30" s="48">
        <v>0</v>
      </c>
      <c r="J30" s="48">
        <v>0</v>
      </c>
      <c r="K30" s="48">
        <f>150+3208</f>
        <v>3358</v>
      </c>
      <c r="L30" s="48">
        <f>1819+131</f>
        <v>1950</v>
      </c>
      <c r="M30" s="10">
        <f>3553+326</f>
        <v>3879</v>
      </c>
      <c r="N30" s="48">
        <f>SUM(B30:M30)</f>
        <v>9187</v>
      </c>
      <c r="O30" s="46">
        <v>1441</v>
      </c>
      <c r="P30" s="47">
        <f t="shared" si="1"/>
        <v>84.314792641776421</v>
      </c>
    </row>
    <row r="31" spans="1:16">
      <c r="A31" s="1" t="s">
        <v>43</v>
      </c>
      <c r="B31" s="46">
        <f>1249+421</f>
        <v>1670</v>
      </c>
      <c r="C31" s="46">
        <f>1405+1399</f>
        <v>2804</v>
      </c>
      <c r="D31" s="52">
        <f>1875+191</f>
        <v>2066</v>
      </c>
      <c r="E31" s="46">
        <f>1804+96</f>
        <v>1900</v>
      </c>
      <c r="F31" s="46">
        <v>1950</v>
      </c>
      <c r="G31" s="46">
        <f>1836+114</f>
        <v>1950</v>
      </c>
      <c r="H31" s="46">
        <f>1945+272</f>
        <v>2217</v>
      </c>
      <c r="I31" s="46">
        <f>2373+49</f>
        <v>2422</v>
      </c>
      <c r="J31" s="46">
        <v>2601</v>
      </c>
      <c r="K31" s="46">
        <v>2495</v>
      </c>
      <c r="L31" s="46">
        <v>2758</v>
      </c>
      <c r="M31" s="46">
        <f>2614+396</f>
        <v>3010</v>
      </c>
      <c r="N31" s="46">
        <f t="shared" si="2"/>
        <v>27843</v>
      </c>
      <c r="O31" s="46">
        <v>8217</v>
      </c>
      <c r="P31" s="47">
        <f t="shared" si="1"/>
        <v>70.488093955392742</v>
      </c>
    </row>
    <row r="32" spans="1:16">
      <c r="A32" s="1" t="s">
        <v>44</v>
      </c>
      <c r="B32" s="46">
        <f>139+377</f>
        <v>516</v>
      </c>
      <c r="C32" s="46">
        <f>11+73</f>
        <v>84</v>
      </c>
      <c r="D32" s="52">
        <f>196+80</f>
        <v>276</v>
      </c>
      <c r="E32" s="46">
        <f>49+267</f>
        <v>316</v>
      </c>
      <c r="F32" s="46">
        <v>368</v>
      </c>
      <c r="G32" s="46">
        <f>39+418</f>
        <v>457</v>
      </c>
      <c r="H32" s="46">
        <f>119+91</f>
        <v>210</v>
      </c>
      <c r="I32" s="48">
        <v>45</v>
      </c>
      <c r="J32" s="46">
        <v>204</v>
      </c>
      <c r="K32" s="46">
        <v>4519</v>
      </c>
      <c r="L32" s="46">
        <v>1894</v>
      </c>
      <c r="M32" s="46">
        <v>2842</v>
      </c>
      <c r="N32" s="46">
        <f t="shared" si="2"/>
        <v>11731</v>
      </c>
      <c r="O32" s="46">
        <v>12311</v>
      </c>
      <c r="P32" s="47">
        <f t="shared" si="1"/>
        <v>-4.9441650328190265</v>
      </c>
    </row>
    <row r="33" spans="1:16">
      <c r="A33" s="1" t="s">
        <v>45</v>
      </c>
      <c r="B33" s="48">
        <v>0</v>
      </c>
      <c r="C33" s="48">
        <v>0</v>
      </c>
      <c r="D33" s="53">
        <v>0</v>
      </c>
      <c r="E33" s="48">
        <f>0</f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4327</v>
      </c>
      <c r="L33" s="48">
        <f>543+550+200+546</f>
        <v>1839</v>
      </c>
      <c r="M33" s="14">
        <f>546*5</f>
        <v>2730</v>
      </c>
      <c r="N33" s="48">
        <f t="shared" si="2"/>
        <v>8896</v>
      </c>
      <c r="O33" s="48">
        <v>0</v>
      </c>
      <c r="P33" s="47">
        <f t="shared" si="1"/>
        <v>100</v>
      </c>
    </row>
    <row r="34" spans="1:16">
      <c r="A34" s="1" t="s">
        <v>46</v>
      </c>
      <c r="B34" s="46">
        <v>850</v>
      </c>
      <c r="C34" s="46">
        <v>421</v>
      </c>
      <c r="D34" s="52">
        <f>570+57</f>
        <v>627</v>
      </c>
      <c r="E34" s="46"/>
      <c r="F34" s="46">
        <v>565</v>
      </c>
      <c r="G34" s="46">
        <v>925</v>
      </c>
      <c r="H34" s="46">
        <v>543</v>
      </c>
      <c r="I34" s="46">
        <v>650</v>
      </c>
      <c r="J34" s="46"/>
      <c r="K34" s="46">
        <v>566</v>
      </c>
      <c r="L34" s="46">
        <f>434</f>
        <v>434</v>
      </c>
      <c r="M34" s="46">
        <f>771+288</f>
        <v>1059</v>
      </c>
      <c r="N34" s="46">
        <f t="shared" si="2"/>
        <v>6640</v>
      </c>
      <c r="O34" s="46">
        <v>11307</v>
      </c>
      <c r="P34" s="47">
        <f t="shared" si="1"/>
        <v>-70.286144578313255</v>
      </c>
    </row>
    <row r="35" spans="1:16">
      <c r="A35" s="1" t="s">
        <v>47</v>
      </c>
      <c r="B35" s="46">
        <v>564</v>
      </c>
      <c r="C35" s="46">
        <f>115+225</f>
        <v>340</v>
      </c>
      <c r="D35" s="52">
        <f>408+407</f>
        <v>815</v>
      </c>
      <c r="E35" s="49">
        <v>527</v>
      </c>
      <c r="F35" s="49">
        <v>2606</v>
      </c>
      <c r="G35" s="49">
        <f>201+395+251+374</f>
        <v>1221</v>
      </c>
      <c r="H35" s="46">
        <v>838</v>
      </c>
      <c r="I35" s="46">
        <v>1059</v>
      </c>
      <c r="J35" s="46">
        <v>803</v>
      </c>
      <c r="K35" s="46"/>
      <c r="L35" s="46"/>
      <c r="M35" s="13"/>
      <c r="N35" s="46">
        <f t="shared" si="2"/>
        <v>8773</v>
      </c>
      <c r="O35" s="46">
        <v>9396</v>
      </c>
      <c r="P35" s="47">
        <f t="shared" si="1"/>
        <v>-7.1013336372962499</v>
      </c>
    </row>
    <row r="36" spans="1:16">
      <c r="A36" s="1" t="s">
        <v>48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/>
      <c r="L36" s="46"/>
      <c r="M36" s="46"/>
      <c r="N36" s="48">
        <f t="shared" si="2"/>
        <v>0</v>
      </c>
      <c r="O36" s="46">
        <v>12066</v>
      </c>
      <c r="P36" s="47"/>
    </row>
    <row r="37" spans="1:16">
      <c r="A37" s="1" t="s">
        <v>49</v>
      </c>
      <c r="B37" s="48">
        <v>0</v>
      </c>
      <c r="C37" s="48">
        <v>0</v>
      </c>
      <c r="D37" s="46">
        <v>85</v>
      </c>
      <c r="E37" s="46">
        <v>797</v>
      </c>
      <c r="F37" s="46">
        <v>164</v>
      </c>
      <c r="G37" s="46">
        <v>91</v>
      </c>
      <c r="H37" s="46">
        <f>34+24</f>
        <v>58</v>
      </c>
      <c r="I37" s="46">
        <v>60</v>
      </c>
      <c r="J37" s="46">
        <v>25</v>
      </c>
      <c r="K37" s="46">
        <v>95</v>
      </c>
      <c r="L37" s="46">
        <v>161</v>
      </c>
      <c r="M37" s="48">
        <v>459</v>
      </c>
      <c r="N37" s="46">
        <f t="shared" si="2"/>
        <v>1995</v>
      </c>
      <c r="O37" s="46">
        <v>4708</v>
      </c>
      <c r="P37" s="47">
        <f t="shared" si="1"/>
        <v>-135.98997493734336</v>
      </c>
    </row>
    <row r="38" spans="1:16">
      <c r="A38" s="1" t="s">
        <v>50</v>
      </c>
      <c r="B38" s="5">
        <f t="shared" ref="B38:I38" si="3">SUM(B6:B37)</f>
        <v>1013162</v>
      </c>
      <c r="C38" s="5">
        <f t="shared" si="3"/>
        <v>932974</v>
      </c>
      <c r="D38" s="5">
        <f t="shared" si="3"/>
        <v>1009540</v>
      </c>
      <c r="E38" s="5">
        <f t="shared" si="3"/>
        <v>1116548</v>
      </c>
      <c r="F38" s="5">
        <f t="shared" si="3"/>
        <v>1106072</v>
      </c>
      <c r="G38" s="5">
        <f>SUM(G6:G37)</f>
        <v>1103273</v>
      </c>
      <c r="H38" s="5">
        <f t="shared" si="3"/>
        <v>1223256</v>
      </c>
      <c r="I38" s="5">
        <f t="shared" si="3"/>
        <v>1297332</v>
      </c>
      <c r="J38" s="5">
        <f>SUM(J6:J37)</f>
        <v>1278015</v>
      </c>
      <c r="K38" s="5">
        <f t="shared" ref="K38:O38" si="4">SUM(K6:K37)</f>
        <v>1241689</v>
      </c>
      <c r="L38" s="5">
        <f t="shared" si="4"/>
        <v>1234545</v>
      </c>
      <c r="M38" s="56">
        <f>SUM(M6:M37)</f>
        <v>1425271</v>
      </c>
      <c r="N38" s="5">
        <f t="shared" si="4"/>
        <v>13981677</v>
      </c>
      <c r="O38" s="5">
        <f t="shared" si="4"/>
        <v>12526464</v>
      </c>
      <c r="P38" s="18">
        <f t="shared" si="1"/>
        <v>10.408000413684281</v>
      </c>
    </row>
    <row r="39" spans="1:16">
      <c r="N39" s="57"/>
      <c r="O39" s="58"/>
      <c r="P39" s="59"/>
    </row>
    <row r="40" spans="1:16">
      <c r="C40" s="43" t="s">
        <v>89</v>
      </c>
      <c r="D40" s="43"/>
      <c r="E40" s="43"/>
      <c r="J40" s="43" t="s">
        <v>91</v>
      </c>
      <c r="K40" s="43"/>
      <c r="L40" s="43"/>
      <c r="M40" s="43"/>
      <c r="N40" s="57"/>
      <c r="O40" s="58"/>
      <c r="P40" s="59"/>
    </row>
    <row r="41" spans="1:16">
      <c r="C41" s="43" t="s">
        <v>90</v>
      </c>
      <c r="D41" s="43"/>
      <c r="E41" s="43"/>
      <c r="J41" s="43" t="s">
        <v>94</v>
      </c>
      <c r="K41" s="43"/>
      <c r="L41" s="43"/>
      <c r="M41" s="43"/>
    </row>
  </sheetData>
  <mergeCells count="4">
    <mergeCell ref="A1:P1"/>
    <mergeCell ref="A2:P2"/>
    <mergeCell ref="A3:P3"/>
    <mergeCell ref="A4:P4"/>
  </mergeCells>
  <pageMargins left="0.7" right="0.7" top="0.75" bottom="0.75" header="0.3" footer="0.3"/>
  <pageSetup scale="68" fitToHeight="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D40"/>
  <sheetViews>
    <sheetView workbookViewId="0">
      <selection activeCell="H7" sqref="H7"/>
    </sheetView>
  </sheetViews>
  <sheetFormatPr defaultRowHeight="15"/>
  <cols>
    <col min="1" max="1" width="12.5703125" customWidth="1"/>
    <col min="3" max="3" width="11.28515625" customWidth="1"/>
    <col min="14" max="14" width="10.42578125" customWidth="1"/>
    <col min="26" max="27" width="10.5703125" bestFit="1" customWidth="1"/>
    <col min="28" max="29" width="11.5703125" bestFit="1" customWidth="1"/>
    <col min="30" max="30" width="7.28515625" customWidth="1"/>
  </cols>
  <sheetData>
    <row r="1" spans="1:30" ht="15.7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80"/>
      <c r="P1" s="80"/>
      <c r="Q1" s="80"/>
      <c r="R1" s="80"/>
      <c r="S1" s="80"/>
      <c r="T1" s="80"/>
      <c r="U1" s="80"/>
      <c r="V1" s="80"/>
      <c r="W1" s="80"/>
      <c r="X1" s="11"/>
      <c r="Y1" s="11"/>
      <c r="Z1" s="11"/>
      <c r="AA1" s="11"/>
      <c r="AB1" s="11"/>
      <c r="AC1" s="11"/>
      <c r="AD1" s="11"/>
    </row>
    <row r="2" spans="1:30" ht="15.75">
      <c r="A2" s="109" t="s">
        <v>64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80"/>
      <c r="P2" s="80"/>
      <c r="Q2" s="80"/>
      <c r="R2" s="80"/>
      <c r="S2" s="80"/>
      <c r="T2" s="80"/>
      <c r="U2" s="80"/>
      <c r="V2" s="80"/>
      <c r="W2" s="80"/>
      <c r="X2" s="11"/>
      <c r="Y2" s="11"/>
      <c r="Z2" s="11"/>
      <c r="AA2" s="11"/>
      <c r="AB2" s="11"/>
      <c r="AC2" s="11"/>
      <c r="AD2" s="11"/>
    </row>
    <row r="3" spans="1:30" ht="15.75">
      <c r="A3" s="109" t="s">
        <v>106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80"/>
      <c r="P3" s="80"/>
      <c r="Q3" s="80"/>
      <c r="R3" s="80"/>
      <c r="S3" s="80"/>
      <c r="T3" s="80"/>
      <c r="U3" s="80"/>
      <c r="V3" s="80"/>
      <c r="W3" s="80"/>
      <c r="X3" s="11"/>
      <c r="Y3" s="11"/>
      <c r="Z3" s="11"/>
      <c r="AA3" s="11"/>
      <c r="AB3" s="11"/>
      <c r="AC3" s="11"/>
      <c r="AD3" s="11"/>
    </row>
    <row r="4" spans="1:30" ht="15.75">
      <c r="A4" s="109" t="s">
        <v>105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80"/>
      <c r="P4" s="80"/>
      <c r="Q4" s="80"/>
      <c r="R4" s="80"/>
      <c r="S4" s="80"/>
      <c r="T4" s="80"/>
      <c r="U4" s="80"/>
      <c r="V4" s="80"/>
      <c r="W4" s="80"/>
      <c r="X4" s="11"/>
      <c r="Y4" s="11"/>
      <c r="Z4" s="11"/>
      <c r="AA4" s="11"/>
      <c r="AB4" s="11"/>
      <c r="AC4" s="11"/>
      <c r="AD4" s="11"/>
    </row>
    <row r="5" spans="1:30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30">
      <c r="A6" s="33"/>
      <c r="B6" s="86" t="s">
        <v>66</v>
      </c>
      <c r="C6" s="86" t="s">
        <v>67</v>
      </c>
      <c r="D6" s="86" t="s">
        <v>6</v>
      </c>
      <c r="E6" s="86" t="s">
        <v>7</v>
      </c>
      <c r="F6" s="86" t="s">
        <v>8</v>
      </c>
      <c r="G6" s="86" t="s">
        <v>9</v>
      </c>
      <c r="H6" s="86" t="s">
        <v>10</v>
      </c>
      <c r="I6" s="86" t="s">
        <v>11</v>
      </c>
      <c r="J6" s="86" t="s">
        <v>12</v>
      </c>
      <c r="K6" s="87" t="s">
        <v>13</v>
      </c>
      <c r="L6" s="87" t="s">
        <v>14</v>
      </c>
      <c r="M6" s="87" t="s">
        <v>15</v>
      </c>
      <c r="N6" s="97" t="s">
        <v>100</v>
      </c>
      <c r="O6" s="88"/>
      <c r="P6" s="88"/>
      <c r="Q6" s="76"/>
      <c r="R6" s="76"/>
    </row>
    <row r="7" spans="1:30">
      <c r="A7" s="34" t="s">
        <v>68</v>
      </c>
      <c r="B7" s="35" t="s">
        <v>70</v>
      </c>
      <c r="C7" s="35" t="s">
        <v>70</v>
      </c>
      <c r="D7" s="35" t="s">
        <v>70</v>
      </c>
      <c r="E7" s="35" t="s">
        <v>70</v>
      </c>
      <c r="F7" s="70" t="s">
        <v>70</v>
      </c>
      <c r="G7" s="35" t="s">
        <v>70</v>
      </c>
      <c r="H7" s="44" t="s">
        <v>70</v>
      </c>
      <c r="I7" s="44" t="s">
        <v>70</v>
      </c>
      <c r="J7" s="44" t="s">
        <v>70</v>
      </c>
      <c r="K7" s="44" t="s">
        <v>70</v>
      </c>
      <c r="L7" s="44" t="s">
        <v>70</v>
      </c>
      <c r="M7" s="36" t="s">
        <v>70</v>
      </c>
      <c r="N7" s="44" t="s">
        <v>70</v>
      </c>
      <c r="O7" s="77"/>
      <c r="P7" s="77"/>
      <c r="Q7" s="77"/>
    </row>
    <row r="8" spans="1:30">
      <c r="A8" s="34" t="s">
        <v>18</v>
      </c>
      <c r="B8" s="28">
        <f>137377+347</f>
        <v>137724</v>
      </c>
      <c r="C8" s="28">
        <f>129323+1044</f>
        <v>130367</v>
      </c>
      <c r="D8" s="38">
        <f>137697+332</f>
        <v>138029</v>
      </c>
      <c r="E8" s="13">
        <f>156312+225</f>
        <v>156537</v>
      </c>
      <c r="F8" s="71">
        <f>160176+199</f>
        <v>160375</v>
      </c>
      <c r="G8" s="13">
        <v>156706</v>
      </c>
      <c r="H8" s="22">
        <f>179119+160</f>
        <v>179279</v>
      </c>
      <c r="I8" s="13">
        <f>181057+199</f>
        <v>181256</v>
      </c>
      <c r="J8" s="13">
        <f>158350+65</f>
        <v>158415</v>
      </c>
      <c r="K8" s="13">
        <f>171989+161</f>
        <v>172150</v>
      </c>
      <c r="L8" s="13">
        <f>172532+211</f>
        <v>172743</v>
      </c>
      <c r="M8" s="13">
        <f>199077+153</f>
        <v>199230</v>
      </c>
      <c r="N8" s="22">
        <f t="shared" ref="N8:N37" si="0">B8+C8+D8+E8+F8+G8+H8+I8+J8+K8+L8+M8</f>
        <v>1942811</v>
      </c>
      <c r="O8" s="89"/>
      <c r="P8" s="90"/>
      <c r="Q8" s="91"/>
    </row>
    <row r="9" spans="1:30">
      <c r="A9" s="34" t="s">
        <v>19</v>
      </c>
      <c r="B9" s="28">
        <f>101572+14</f>
        <v>101586</v>
      </c>
      <c r="C9" s="28">
        <f>80376+1091</f>
        <v>81467</v>
      </c>
      <c r="D9" s="27">
        <f>93327+1037</f>
        <v>94364</v>
      </c>
      <c r="E9" s="13">
        <f>88403+654</f>
        <v>89057</v>
      </c>
      <c r="F9" s="71">
        <f>93062+501</f>
        <v>93563</v>
      </c>
      <c r="G9" s="13">
        <f>88508+756</f>
        <v>89264</v>
      </c>
      <c r="H9" s="22">
        <f>108352+42</f>
        <v>108394</v>
      </c>
      <c r="I9" s="13">
        <f>124495+454</f>
        <v>124949</v>
      </c>
      <c r="J9" s="13">
        <f>110288+48</f>
        <v>110336</v>
      </c>
      <c r="K9" s="13">
        <f>90646+519</f>
        <v>91165</v>
      </c>
      <c r="L9" s="13">
        <f>105119+822</f>
        <v>105941</v>
      </c>
      <c r="M9" s="13">
        <f>110069+558</f>
        <v>110627</v>
      </c>
      <c r="N9" s="22">
        <f t="shared" si="0"/>
        <v>1200713</v>
      </c>
      <c r="O9" s="89"/>
      <c r="P9" s="90"/>
      <c r="Q9" s="91"/>
    </row>
    <row r="10" spans="1:30">
      <c r="A10" s="34" t="s">
        <v>71</v>
      </c>
      <c r="B10" s="28">
        <f>112561+2280</f>
        <v>114841</v>
      </c>
      <c r="C10" s="28">
        <f>111595+2181</f>
        <v>113776</v>
      </c>
      <c r="D10" s="28">
        <f>118082+1173</f>
        <v>119255</v>
      </c>
      <c r="E10" s="13">
        <f>133622+2564</f>
        <v>136186</v>
      </c>
      <c r="F10" s="71">
        <f>126799+3368</f>
        <v>130167</v>
      </c>
      <c r="G10" s="13">
        <f>131266</f>
        <v>131266</v>
      </c>
      <c r="H10" s="22">
        <f>141454+3306</f>
        <v>144760</v>
      </c>
      <c r="I10" s="13">
        <f>143886+2922</f>
        <v>146808</v>
      </c>
      <c r="J10" s="13">
        <v>155850</v>
      </c>
      <c r="K10" s="13">
        <v>149695</v>
      </c>
      <c r="L10" s="13">
        <v>150835</v>
      </c>
      <c r="M10" s="13">
        <f>163428+4598</f>
        <v>168026</v>
      </c>
      <c r="N10" s="22">
        <f t="shared" si="0"/>
        <v>1661465</v>
      </c>
      <c r="O10" s="89"/>
      <c r="P10" s="90"/>
      <c r="Q10" s="91"/>
    </row>
    <row r="11" spans="1:30">
      <c r="A11" s="34" t="s">
        <v>72</v>
      </c>
      <c r="B11" s="28">
        <f>17340+2976</f>
        <v>20316</v>
      </c>
      <c r="C11" s="28">
        <f>13710+1685</f>
        <v>15395</v>
      </c>
      <c r="D11" s="28">
        <f>16405+322</f>
        <v>16727</v>
      </c>
      <c r="E11" s="13">
        <f>16188+359</f>
        <v>16547</v>
      </c>
      <c r="F11" s="71">
        <f>18346+1964</f>
        <v>20310</v>
      </c>
      <c r="G11" s="13">
        <f>19140+1744</f>
        <v>20884</v>
      </c>
      <c r="H11" s="22">
        <f>23466+1066</f>
        <v>24532</v>
      </c>
      <c r="I11" s="13">
        <f>23778+2721</f>
        <v>26499</v>
      </c>
      <c r="J11" s="13">
        <v>28977</v>
      </c>
      <c r="K11" s="13">
        <v>30320</v>
      </c>
      <c r="L11" s="13">
        <v>28704</v>
      </c>
      <c r="M11" s="13">
        <f>22646+3480</f>
        <v>26126</v>
      </c>
      <c r="N11" s="22">
        <f t="shared" si="0"/>
        <v>275337</v>
      </c>
      <c r="O11" s="89"/>
      <c r="P11" s="90"/>
      <c r="Q11" s="91"/>
    </row>
    <row r="12" spans="1:30">
      <c r="A12" s="34" t="s">
        <v>73</v>
      </c>
      <c r="B12" s="28">
        <f>44428+981</f>
        <v>45409</v>
      </c>
      <c r="C12" s="28">
        <f>40687+1200</f>
        <v>41887</v>
      </c>
      <c r="D12" s="28">
        <f>45930+1278</f>
        <v>47208</v>
      </c>
      <c r="E12" s="13">
        <f>49569+1561</f>
        <v>51130</v>
      </c>
      <c r="F12" s="71">
        <f>47259+1313</f>
        <v>48572</v>
      </c>
      <c r="G12" s="13">
        <f>46416</f>
        <v>46416</v>
      </c>
      <c r="H12" s="22">
        <f>51592+1152</f>
        <v>52744</v>
      </c>
      <c r="I12" s="13">
        <f>56043+1355</f>
        <v>57398</v>
      </c>
      <c r="J12" s="13">
        <f>50486+1567</f>
        <v>52053</v>
      </c>
      <c r="K12" s="13">
        <f>49173+1664</f>
        <v>50837</v>
      </c>
      <c r="L12" s="13">
        <f>51835+1309</f>
        <v>53144</v>
      </c>
      <c r="M12" s="13">
        <f>54813+1608</f>
        <v>56421</v>
      </c>
      <c r="N12" s="22">
        <f t="shared" si="0"/>
        <v>603219</v>
      </c>
      <c r="O12" s="89"/>
      <c r="P12" s="90"/>
      <c r="Q12" s="91"/>
    </row>
    <row r="13" spans="1:30">
      <c r="A13" s="34" t="s">
        <v>74</v>
      </c>
      <c r="B13" s="27">
        <v>820</v>
      </c>
      <c r="C13" s="27">
        <f>31+15</f>
        <v>46</v>
      </c>
      <c r="D13" s="27">
        <f>14+6</f>
        <v>20</v>
      </c>
      <c r="E13" s="13">
        <v>28</v>
      </c>
      <c r="F13" s="71">
        <f>26+6</f>
        <v>32</v>
      </c>
      <c r="G13" s="13">
        <f>41+5</f>
        <v>46</v>
      </c>
      <c r="H13" s="22">
        <f>204+6</f>
        <v>210</v>
      </c>
      <c r="I13" s="13">
        <v>67</v>
      </c>
      <c r="J13" s="13">
        <f>93+3</f>
        <v>96</v>
      </c>
      <c r="K13" s="13">
        <v>169</v>
      </c>
      <c r="L13" s="13">
        <f>152+1299</f>
        <v>1451</v>
      </c>
      <c r="M13" s="13">
        <f>16+2780</f>
        <v>2796</v>
      </c>
      <c r="N13" s="22">
        <f t="shared" si="0"/>
        <v>5781</v>
      </c>
      <c r="O13" s="89"/>
      <c r="P13" s="90"/>
      <c r="Q13" s="91"/>
    </row>
    <row r="14" spans="1:30">
      <c r="A14" s="34" t="s">
        <v>24</v>
      </c>
      <c r="B14" s="28">
        <f>8206+142</f>
        <v>8348</v>
      </c>
      <c r="C14" s="28">
        <f>7640+69</f>
        <v>7709</v>
      </c>
      <c r="D14" s="28">
        <f>7652+249</f>
        <v>7901</v>
      </c>
      <c r="E14" s="13">
        <f>9288+239</f>
        <v>9527</v>
      </c>
      <c r="F14" s="71">
        <f>8180+116</f>
        <v>8296</v>
      </c>
      <c r="G14" s="13">
        <f>8509+154</f>
        <v>8663</v>
      </c>
      <c r="H14" s="22">
        <f>9946+151</f>
        <v>10097</v>
      </c>
      <c r="I14" s="13">
        <f>10906+105</f>
        <v>11011</v>
      </c>
      <c r="J14" s="13">
        <f>11151+87</f>
        <v>11238</v>
      </c>
      <c r="K14" s="13">
        <f>11017+334</f>
        <v>11351</v>
      </c>
      <c r="L14" s="13">
        <f>10632+408</f>
        <v>11040</v>
      </c>
      <c r="M14" s="13">
        <f>10461+142</f>
        <v>10603</v>
      </c>
      <c r="N14" s="22">
        <f t="shared" si="0"/>
        <v>115784</v>
      </c>
      <c r="O14" s="89"/>
      <c r="P14" s="90"/>
      <c r="Q14" s="91"/>
    </row>
    <row r="15" spans="1:30">
      <c r="A15" s="34" t="s">
        <v>25</v>
      </c>
      <c r="B15" s="28">
        <f>2654+10</f>
        <v>2664</v>
      </c>
      <c r="C15" s="28">
        <f>3522</f>
        <v>3522</v>
      </c>
      <c r="D15" s="28">
        <f>4133+45</f>
        <v>4178</v>
      </c>
      <c r="E15" s="13">
        <f>4124+5</f>
        <v>4129</v>
      </c>
      <c r="F15" s="71">
        <f>4390+16</f>
        <v>4406</v>
      </c>
      <c r="G15" s="13">
        <f>4615+29</f>
        <v>4644</v>
      </c>
      <c r="H15" s="22">
        <f>4330+6</f>
        <v>4336</v>
      </c>
      <c r="I15" s="13">
        <f>14385+93</f>
        <v>14478</v>
      </c>
      <c r="J15" s="13">
        <f>7223</f>
        <v>7223</v>
      </c>
      <c r="K15" s="13">
        <f>9203+42</f>
        <v>9245</v>
      </c>
      <c r="L15" s="13">
        <f>11612+56</f>
        <v>11668</v>
      </c>
      <c r="M15" s="13">
        <f>2857+0</f>
        <v>2857</v>
      </c>
      <c r="N15" s="22">
        <f t="shared" si="0"/>
        <v>73350</v>
      </c>
      <c r="O15" s="89"/>
      <c r="P15" s="90"/>
      <c r="Q15" s="91"/>
    </row>
    <row r="16" spans="1:30">
      <c r="A16" s="34" t="s">
        <v>26</v>
      </c>
      <c r="B16" s="29">
        <v>0</v>
      </c>
      <c r="C16" s="29">
        <v>0</v>
      </c>
      <c r="D16" s="29">
        <v>0</v>
      </c>
      <c r="E16" s="16">
        <v>0</v>
      </c>
      <c r="F16" s="72">
        <v>0</v>
      </c>
      <c r="G16" s="16">
        <v>0</v>
      </c>
      <c r="H16" s="21">
        <v>0</v>
      </c>
      <c r="I16" s="16">
        <v>0</v>
      </c>
      <c r="J16" s="16">
        <v>0</v>
      </c>
      <c r="K16" s="16">
        <v>0</v>
      </c>
      <c r="L16" s="14">
        <v>0</v>
      </c>
      <c r="M16" s="14"/>
      <c r="N16" s="24">
        <f t="shared" si="0"/>
        <v>0</v>
      </c>
      <c r="O16" s="92"/>
      <c r="P16" s="90"/>
      <c r="Q16" s="91"/>
    </row>
    <row r="17" spans="1:17">
      <c r="A17" s="34" t="s">
        <v>27</v>
      </c>
      <c r="B17" s="28">
        <f>14543+16</f>
        <v>14559</v>
      </c>
      <c r="C17" s="28">
        <f>14755+28</f>
        <v>14783</v>
      </c>
      <c r="D17" s="28">
        <f>15895+121</f>
        <v>16016</v>
      </c>
      <c r="E17" s="13">
        <f>15713+149</f>
        <v>15862</v>
      </c>
      <c r="F17" s="71">
        <f>14682+201</f>
        <v>14883</v>
      </c>
      <c r="G17" s="13">
        <f>16931+126</f>
        <v>17057</v>
      </c>
      <c r="H17" s="22">
        <f>15329+69</f>
        <v>15398</v>
      </c>
      <c r="I17" s="13">
        <f>13362+194</f>
        <v>13556</v>
      </c>
      <c r="J17" s="13">
        <f>13046+142</f>
        <v>13188</v>
      </c>
      <c r="K17" s="13">
        <f>14466+169</f>
        <v>14635</v>
      </c>
      <c r="L17" s="13"/>
      <c r="M17" s="13">
        <f>20226+453</f>
        <v>20679</v>
      </c>
      <c r="N17" s="22">
        <f t="shared" si="0"/>
        <v>170616</v>
      </c>
      <c r="O17" s="89"/>
      <c r="P17" s="90"/>
      <c r="Q17" s="91"/>
    </row>
    <row r="18" spans="1:17">
      <c r="A18" s="34" t="s">
        <v>75</v>
      </c>
      <c r="B18" s="28">
        <f>6481+98</f>
        <v>6579</v>
      </c>
      <c r="C18" s="28">
        <f>6294+84</f>
        <v>6378</v>
      </c>
      <c r="D18" s="28">
        <f>6188+578</f>
        <v>6766</v>
      </c>
      <c r="E18" s="13">
        <f>8021+189</f>
        <v>8210</v>
      </c>
      <c r="F18" s="71">
        <v>7904</v>
      </c>
      <c r="G18" s="13">
        <v>7290</v>
      </c>
      <c r="H18" s="74">
        <f>7759+191</f>
        <v>7950</v>
      </c>
      <c r="I18" s="13">
        <f>11003+199</f>
        <v>11202</v>
      </c>
      <c r="J18" s="13">
        <f>7848+182</f>
        <v>8030</v>
      </c>
      <c r="K18" s="13">
        <f>6408+243</f>
        <v>6651</v>
      </c>
      <c r="L18" s="13">
        <f>6361+92</f>
        <v>6453</v>
      </c>
      <c r="M18" s="13">
        <f>7153+275</f>
        <v>7428</v>
      </c>
      <c r="N18" s="22">
        <f t="shared" si="0"/>
        <v>90841</v>
      </c>
      <c r="O18" s="89"/>
      <c r="P18" s="90"/>
      <c r="Q18" s="91"/>
    </row>
    <row r="19" spans="1:17">
      <c r="A19" s="34" t="s">
        <v>76</v>
      </c>
      <c r="B19" s="39">
        <v>0</v>
      </c>
      <c r="C19" s="31">
        <v>0</v>
      </c>
      <c r="D19" s="30">
        <v>0</v>
      </c>
      <c r="E19" s="16">
        <v>0</v>
      </c>
      <c r="F19" s="72">
        <v>0</v>
      </c>
      <c r="G19" s="16">
        <v>0</v>
      </c>
      <c r="H19" s="63"/>
      <c r="I19" s="14">
        <v>0</v>
      </c>
      <c r="J19" s="13">
        <v>1581</v>
      </c>
      <c r="K19" s="13">
        <v>4364</v>
      </c>
      <c r="L19" s="13">
        <v>5246</v>
      </c>
      <c r="M19" s="14">
        <v>0</v>
      </c>
      <c r="N19" s="22">
        <f t="shared" si="0"/>
        <v>11191</v>
      </c>
      <c r="O19" s="89"/>
      <c r="P19" s="90"/>
      <c r="Q19" s="91"/>
    </row>
    <row r="20" spans="1:17">
      <c r="A20" s="34" t="s">
        <v>77</v>
      </c>
      <c r="B20" s="28">
        <f>12560+496</f>
        <v>13056</v>
      </c>
      <c r="C20" s="28">
        <v>9840</v>
      </c>
      <c r="D20" s="28">
        <v>10889</v>
      </c>
      <c r="E20" s="13">
        <v>12379</v>
      </c>
      <c r="F20" s="71">
        <v>11460</v>
      </c>
      <c r="G20" s="13">
        <v>1471</v>
      </c>
      <c r="H20" s="22">
        <v>10383</v>
      </c>
      <c r="I20" s="13">
        <v>12151</v>
      </c>
      <c r="J20" s="13">
        <v>10439</v>
      </c>
      <c r="K20" s="13">
        <v>10910</v>
      </c>
      <c r="L20" s="13">
        <v>11549</v>
      </c>
      <c r="M20" s="13">
        <f>11790+758</f>
        <v>12548</v>
      </c>
      <c r="N20" s="22">
        <f t="shared" si="0"/>
        <v>127075</v>
      </c>
      <c r="O20" s="93"/>
      <c r="P20" s="90"/>
      <c r="Q20" s="91"/>
    </row>
    <row r="21" spans="1:17">
      <c r="A21" s="34" t="s">
        <v>78</v>
      </c>
      <c r="B21" s="28">
        <v>30</v>
      </c>
      <c r="C21" s="28">
        <v>44</v>
      </c>
      <c r="D21" s="31">
        <v>30</v>
      </c>
      <c r="E21" s="13">
        <v>32</v>
      </c>
      <c r="F21" s="72">
        <v>0</v>
      </c>
      <c r="G21" s="16">
        <v>30</v>
      </c>
      <c r="H21" s="22">
        <v>1</v>
      </c>
      <c r="I21" s="14">
        <v>0</v>
      </c>
      <c r="J21" s="14">
        <v>0</v>
      </c>
      <c r="K21" s="14">
        <v>0</v>
      </c>
      <c r="L21" s="14">
        <v>0</v>
      </c>
      <c r="M21" s="13">
        <v>30</v>
      </c>
      <c r="N21" s="22">
        <f t="shared" si="0"/>
        <v>197</v>
      </c>
      <c r="O21" s="93"/>
      <c r="P21" s="90"/>
      <c r="Q21" s="91"/>
    </row>
    <row r="22" spans="1:17">
      <c r="A22" s="34" t="s">
        <v>79</v>
      </c>
      <c r="B22" s="28">
        <f>2079+87</f>
        <v>2166</v>
      </c>
      <c r="C22" s="28">
        <f>1978+70</f>
        <v>2048</v>
      </c>
      <c r="D22" s="28">
        <f>2071+130</f>
        <v>2201</v>
      </c>
      <c r="E22" s="13">
        <v>2523</v>
      </c>
      <c r="F22" s="71">
        <f>2226+87</f>
        <v>2313</v>
      </c>
      <c r="G22" s="13">
        <f>2254+58</f>
        <v>2312</v>
      </c>
      <c r="H22" s="22">
        <f>2644+82</f>
        <v>2726</v>
      </c>
      <c r="I22" s="13">
        <f>2813+140</f>
        <v>2953</v>
      </c>
      <c r="J22" s="13">
        <v>2773</v>
      </c>
      <c r="K22" s="13">
        <f>2867+210</f>
        <v>3077</v>
      </c>
      <c r="L22" s="11">
        <f>2671+78</f>
        <v>2749</v>
      </c>
      <c r="M22" s="13">
        <f>2665+109</f>
        <v>2774</v>
      </c>
      <c r="N22" s="22">
        <f t="shared" si="0"/>
        <v>30615</v>
      </c>
      <c r="O22" s="93"/>
      <c r="P22" s="90"/>
      <c r="Q22" s="91"/>
    </row>
    <row r="23" spans="1:17">
      <c r="A23" s="34" t="s">
        <v>80</v>
      </c>
      <c r="B23" s="39">
        <v>0</v>
      </c>
      <c r="C23" s="31">
        <v>0</v>
      </c>
      <c r="D23" s="31">
        <v>0</v>
      </c>
      <c r="E23" s="16">
        <v>0</v>
      </c>
      <c r="F23" s="72">
        <v>0</v>
      </c>
      <c r="G23" s="16">
        <v>0</v>
      </c>
      <c r="H23" s="24">
        <v>0</v>
      </c>
      <c r="I23" s="13">
        <v>1311</v>
      </c>
      <c r="J23" s="13">
        <v>0</v>
      </c>
      <c r="K23" s="13">
        <v>17042</v>
      </c>
      <c r="L23" s="13">
        <v>936</v>
      </c>
      <c r="M23" s="14">
        <v>0</v>
      </c>
      <c r="N23" s="22">
        <f t="shared" si="0"/>
        <v>19289</v>
      </c>
      <c r="O23" s="93"/>
      <c r="P23" s="90"/>
      <c r="Q23" s="91"/>
    </row>
    <row r="24" spans="1:17">
      <c r="A24" s="34" t="s">
        <v>34</v>
      </c>
      <c r="B24" s="28">
        <f>12628+115</f>
        <v>12743</v>
      </c>
      <c r="C24" s="28">
        <f>11841+134</f>
        <v>11975</v>
      </c>
      <c r="D24" s="28">
        <f>11826+161</f>
        <v>11987</v>
      </c>
      <c r="E24" s="13">
        <f>13573+156</f>
        <v>13729</v>
      </c>
      <c r="F24" s="71">
        <f>13504+32</f>
        <v>13536</v>
      </c>
      <c r="G24" s="13">
        <f>12737+47</f>
        <v>12784</v>
      </c>
      <c r="H24" s="22">
        <v>13861</v>
      </c>
      <c r="I24" s="13">
        <v>14736</v>
      </c>
      <c r="J24" s="13">
        <v>14736</v>
      </c>
      <c r="K24" s="13">
        <f>15943+87</f>
        <v>16030</v>
      </c>
      <c r="L24" s="13">
        <f>15666+118</f>
        <v>15784</v>
      </c>
      <c r="M24" s="13">
        <f>16782+494</f>
        <v>17276</v>
      </c>
      <c r="N24" s="22">
        <f t="shared" si="0"/>
        <v>169177</v>
      </c>
      <c r="O24" s="89"/>
      <c r="P24" s="90"/>
      <c r="Q24" s="91"/>
    </row>
    <row r="25" spans="1:17">
      <c r="A25" s="34" t="s">
        <v>81</v>
      </c>
      <c r="B25" s="28">
        <f>3947+115</f>
        <v>4062</v>
      </c>
      <c r="C25" s="28">
        <f>3514+43</f>
        <v>3557</v>
      </c>
      <c r="D25" s="28">
        <f>3548+56</f>
        <v>3604</v>
      </c>
      <c r="E25" s="13">
        <f>4563+68</f>
        <v>4631</v>
      </c>
      <c r="F25" s="71">
        <f>3991+45</f>
        <v>4036</v>
      </c>
      <c r="G25" s="13">
        <v>4186</v>
      </c>
      <c r="H25" s="22">
        <f>4272+746</f>
        <v>5018</v>
      </c>
      <c r="I25" s="13">
        <f>4626+170</f>
        <v>4796</v>
      </c>
      <c r="J25" s="13">
        <f>3665+55</f>
        <v>3720</v>
      </c>
      <c r="K25" s="13">
        <f>4112+135</f>
        <v>4247</v>
      </c>
      <c r="L25" s="13">
        <v>4347</v>
      </c>
      <c r="M25" s="13">
        <v>9556</v>
      </c>
      <c r="N25" s="22">
        <f t="shared" si="0"/>
        <v>55760</v>
      </c>
      <c r="O25" s="89"/>
      <c r="P25" s="90"/>
      <c r="Q25" s="91"/>
    </row>
    <row r="26" spans="1:17">
      <c r="A26" s="34" t="s">
        <v>82</v>
      </c>
      <c r="B26" s="31">
        <v>0</v>
      </c>
      <c r="C26" s="31">
        <v>0</v>
      </c>
      <c r="D26" s="31">
        <v>24</v>
      </c>
      <c r="E26" s="16">
        <v>15</v>
      </c>
      <c r="F26" s="72">
        <v>3</v>
      </c>
      <c r="G26" s="16">
        <v>0</v>
      </c>
      <c r="H26" s="21">
        <v>0</v>
      </c>
      <c r="I26" s="13">
        <f>2377+46</f>
        <v>2423</v>
      </c>
      <c r="J26" s="13">
        <f>3</f>
        <v>3</v>
      </c>
      <c r="K26" s="13">
        <f>6135+21</f>
        <v>6156</v>
      </c>
      <c r="L26" s="13">
        <v>1713</v>
      </c>
      <c r="M26" s="14">
        <v>0</v>
      </c>
      <c r="N26" s="22">
        <f t="shared" si="0"/>
        <v>10337</v>
      </c>
      <c r="O26" s="89"/>
      <c r="P26" s="90"/>
      <c r="Q26" s="91"/>
    </row>
    <row r="27" spans="1:17">
      <c r="A27" s="34" t="s">
        <v>37</v>
      </c>
      <c r="B27" s="28">
        <f>2531+87</f>
        <v>2618</v>
      </c>
      <c r="C27" s="28">
        <f>2313+25</f>
        <v>2338</v>
      </c>
      <c r="D27" s="28">
        <f>2685+49</f>
        <v>2734</v>
      </c>
      <c r="E27" s="13">
        <f>3533+331</f>
        <v>3864</v>
      </c>
      <c r="F27" s="71">
        <f>3997+41</f>
        <v>4038</v>
      </c>
      <c r="G27" s="13">
        <f>3822+298</f>
        <v>4120</v>
      </c>
      <c r="H27" s="22">
        <f>3822+298</f>
        <v>4120</v>
      </c>
      <c r="I27" s="13">
        <f>4056+27</f>
        <v>4083</v>
      </c>
      <c r="J27" s="13">
        <f>4055+72</f>
        <v>4127</v>
      </c>
      <c r="K27" s="13">
        <f>991+78</f>
        <v>1069</v>
      </c>
      <c r="L27" s="13">
        <f>2371+95</f>
        <v>2466</v>
      </c>
      <c r="M27" s="13">
        <f>955+202</f>
        <v>1157</v>
      </c>
      <c r="N27" s="22">
        <f t="shared" si="0"/>
        <v>36734</v>
      </c>
      <c r="O27" s="89"/>
      <c r="P27" s="90"/>
      <c r="Q27" s="91"/>
    </row>
    <row r="28" spans="1:17">
      <c r="A28" s="34" t="s">
        <v>38</v>
      </c>
      <c r="B28" s="28">
        <f>16457+362</f>
        <v>16819</v>
      </c>
      <c r="C28" s="28">
        <f>14507+111</f>
        <v>14618</v>
      </c>
      <c r="D28" s="28">
        <f>16167+347</f>
        <v>16514</v>
      </c>
      <c r="E28" s="13">
        <f>20242+394</f>
        <v>20636</v>
      </c>
      <c r="F28" s="71">
        <f>18307+296</f>
        <v>18603</v>
      </c>
      <c r="G28" s="13">
        <v>18558</v>
      </c>
      <c r="H28" s="22">
        <f>19284+756</f>
        <v>20040</v>
      </c>
      <c r="I28" s="13">
        <v>23238</v>
      </c>
      <c r="J28" s="13">
        <v>20871</v>
      </c>
      <c r="K28" s="13">
        <f>22403+419</f>
        <v>22822</v>
      </c>
      <c r="L28" s="13">
        <v>20382</v>
      </c>
      <c r="M28" s="13">
        <v>21009</v>
      </c>
      <c r="N28" s="22">
        <f t="shared" si="0"/>
        <v>234110</v>
      </c>
      <c r="O28" s="89"/>
      <c r="P28" s="90"/>
      <c r="Q28" s="91"/>
    </row>
    <row r="29" spans="1:17">
      <c r="A29" s="34" t="s">
        <v>39</v>
      </c>
      <c r="B29" s="60">
        <v>4369</v>
      </c>
      <c r="C29" s="28">
        <f>3645+21</f>
        <v>3666</v>
      </c>
      <c r="D29" s="28">
        <f>4019+546</f>
        <v>4565</v>
      </c>
      <c r="E29" s="61">
        <f>5005+153</f>
        <v>5158</v>
      </c>
      <c r="F29" s="71">
        <f>4776+72</f>
        <v>4848</v>
      </c>
      <c r="G29" s="13">
        <f>4554+373</f>
        <v>4927</v>
      </c>
      <c r="H29" s="22">
        <f>4282+26</f>
        <v>4308</v>
      </c>
      <c r="I29" s="13">
        <f>4386+39</f>
        <v>4425</v>
      </c>
      <c r="J29" s="13">
        <v>4284</v>
      </c>
      <c r="K29" s="13">
        <f>4191+241</f>
        <v>4432</v>
      </c>
      <c r="L29" s="13">
        <f>4246+370</f>
        <v>4616</v>
      </c>
      <c r="M29" s="13">
        <f>4611+177</f>
        <v>4788</v>
      </c>
      <c r="N29" s="22">
        <f t="shared" si="0"/>
        <v>54386</v>
      </c>
      <c r="O29" s="89"/>
      <c r="P29" s="90"/>
      <c r="Q29" s="91"/>
    </row>
    <row r="30" spans="1:17">
      <c r="A30" s="34" t="s">
        <v>40</v>
      </c>
      <c r="B30" s="29">
        <v>0</v>
      </c>
      <c r="C30" s="29">
        <v>0</v>
      </c>
      <c r="D30" s="31">
        <v>0</v>
      </c>
      <c r="E30" s="16">
        <v>0</v>
      </c>
      <c r="F30" s="72">
        <v>0</v>
      </c>
      <c r="G30" s="16">
        <v>0</v>
      </c>
      <c r="H30" s="24">
        <v>0</v>
      </c>
      <c r="I30" s="14">
        <v>0</v>
      </c>
      <c r="J30" s="14">
        <v>352</v>
      </c>
      <c r="K30" s="13">
        <v>4061</v>
      </c>
      <c r="L30" s="13">
        <v>523</v>
      </c>
      <c r="M30" s="14">
        <v>0</v>
      </c>
      <c r="N30" s="22">
        <f t="shared" si="0"/>
        <v>4936</v>
      </c>
      <c r="O30" s="89"/>
      <c r="P30" s="90"/>
      <c r="Q30" s="91"/>
    </row>
    <row r="31" spans="1:17">
      <c r="A31" s="34" t="s">
        <v>41</v>
      </c>
      <c r="B31" s="28">
        <f>1391+107</f>
        <v>1498</v>
      </c>
      <c r="C31" s="28">
        <f>1488+61</f>
        <v>1549</v>
      </c>
      <c r="D31" s="28">
        <f>1271+138</f>
        <v>1409</v>
      </c>
      <c r="E31" s="13">
        <f>1321+84</f>
        <v>1405</v>
      </c>
      <c r="F31" s="71">
        <f>1382+36</f>
        <v>1418</v>
      </c>
      <c r="G31" s="13">
        <f>1351+111</f>
        <v>1462</v>
      </c>
      <c r="H31" s="22">
        <f>1643+56</f>
        <v>1699</v>
      </c>
      <c r="I31" s="13">
        <f>1826+104</f>
        <v>1930</v>
      </c>
      <c r="J31" s="13">
        <f>1580+125</f>
        <v>1705</v>
      </c>
      <c r="K31" s="13">
        <v>2132</v>
      </c>
      <c r="L31" s="13">
        <v>2525</v>
      </c>
      <c r="M31" s="13">
        <v>2362</v>
      </c>
      <c r="N31" s="22">
        <f t="shared" si="0"/>
        <v>21094</v>
      </c>
      <c r="O31" s="89"/>
      <c r="P31" s="90"/>
      <c r="Q31" s="91"/>
    </row>
    <row r="32" spans="1:17">
      <c r="A32" s="34" t="s">
        <v>42</v>
      </c>
      <c r="B32" s="39">
        <v>0</v>
      </c>
      <c r="C32" s="31">
        <v>0</v>
      </c>
      <c r="D32" s="31">
        <v>0</v>
      </c>
      <c r="E32" s="16">
        <v>0</v>
      </c>
      <c r="F32" s="72">
        <v>0</v>
      </c>
      <c r="G32" s="16">
        <v>0</v>
      </c>
      <c r="H32" s="21">
        <v>0</v>
      </c>
      <c r="I32" s="16">
        <v>0</v>
      </c>
      <c r="J32" s="16">
        <v>0</v>
      </c>
      <c r="K32" s="16">
        <v>3208</v>
      </c>
      <c r="L32" s="13">
        <v>131</v>
      </c>
      <c r="M32" s="14">
        <v>326</v>
      </c>
      <c r="N32" s="24">
        <f t="shared" si="0"/>
        <v>3665</v>
      </c>
      <c r="O32" s="92"/>
      <c r="P32" s="90"/>
      <c r="Q32" s="91"/>
    </row>
    <row r="33" spans="1:17">
      <c r="A33" s="34" t="s">
        <v>43</v>
      </c>
      <c r="B33" s="28">
        <f>630+228</f>
        <v>858</v>
      </c>
      <c r="C33" s="28">
        <v>1399</v>
      </c>
      <c r="D33" s="28">
        <f>926+89</f>
        <v>1015</v>
      </c>
      <c r="E33" s="13">
        <f>815+52</f>
        <v>867</v>
      </c>
      <c r="F33" s="71">
        <f>927+55</f>
        <v>982</v>
      </c>
      <c r="G33" s="13">
        <f>927+55</f>
        <v>982</v>
      </c>
      <c r="H33" s="22">
        <f>886+135</f>
        <v>1021</v>
      </c>
      <c r="I33" s="13">
        <f>1178+27</f>
        <v>1205</v>
      </c>
      <c r="J33" s="13">
        <f>1107+88</f>
        <v>1195</v>
      </c>
      <c r="K33" s="13">
        <f>1112+63</f>
        <v>1175</v>
      </c>
      <c r="L33" s="13">
        <v>313</v>
      </c>
      <c r="M33" s="13">
        <f>1177+190</f>
        <v>1367</v>
      </c>
      <c r="N33" s="22">
        <f t="shared" si="0"/>
        <v>12379</v>
      </c>
      <c r="O33" s="89"/>
      <c r="P33" s="90"/>
      <c r="Q33" s="91"/>
    </row>
    <row r="34" spans="1:17">
      <c r="A34" s="34" t="s">
        <v>44</v>
      </c>
      <c r="B34" s="28">
        <f>76+210</f>
        <v>286</v>
      </c>
      <c r="C34" s="28">
        <f>11+31</f>
        <v>42</v>
      </c>
      <c r="D34" s="28">
        <f>96+34</f>
        <v>130</v>
      </c>
      <c r="E34" s="13">
        <f>22+121</f>
        <v>143</v>
      </c>
      <c r="F34" s="71">
        <f>24+143</f>
        <v>167</v>
      </c>
      <c r="G34" s="13">
        <f>23+240</f>
        <v>263</v>
      </c>
      <c r="H34" s="22">
        <v>91</v>
      </c>
      <c r="I34" s="13">
        <v>4</v>
      </c>
      <c r="J34" s="13">
        <v>75</v>
      </c>
      <c r="K34" s="13">
        <v>4417</v>
      </c>
      <c r="L34" s="13">
        <v>24</v>
      </c>
      <c r="M34" s="13">
        <v>49</v>
      </c>
      <c r="N34" s="22">
        <f t="shared" si="0"/>
        <v>5691</v>
      </c>
      <c r="O34" s="89"/>
      <c r="P34" s="90"/>
      <c r="Q34" s="91"/>
    </row>
    <row r="35" spans="1:17">
      <c r="A35" s="34" t="s">
        <v>45</v>
      </c>
      <c r="B35" s="28">
        <v>0</v>
      </c>
      <c r="C35" s="28">
        <v>0</v>
      </c>
      <c r="D35" s="28">
        <v>0</v>
      </c>
      <c r="E35" s="13">
        <v>0</v>
      </c>
      <c r="F35" s="71"/>
      <c r="G35" s="13"/>
      <c r="H35" s="22"/>
      <c r="I35" s="13"/>
      <c r="J35" s="13"/>
      <c r="K35" s="13">
        <v>4327</v>
      </c>
      <c r="L35" s="13">
        <v>0</v>
      </c>
      <c r="M35" s="13">
        <v>0</v>
      </c>
      <c r="N35" s="22">
        <f t="shared" si="0"/>
        <v>4327</v>
      </c>
      <c r="O35" s="89"/>
      <c r="P35" s="90"/>
      <c r="Q35" s="91"/>
    </row>
    <row r="36" spans="1:17">
      <c r="A36" s="34" t="s">
        <v>46</v>
      </c>
      <c r="B36" s="28">
        <v>419</v>
      </c>
      <c r="C36" s="28">
        <v>183</v>
      </c>
      <c r="D36" s="28">
        <f>287+37</f>
        <v>324</v>
      </c>
      <c r="E36" s="13"/>
      <c r="F36" s="71">
        <f>254+57</f>
        <v>311</v>
      </c>
      <c r="G36" s="13">
        <v>471</v>
      </c>
      <c r="H36" s="22">
        <v>272</v>
      </c>
      <c r="I36" s="13">
        <f>193+95</f>
        <v>288</v>
      </c>
      <c r="J36" s="13"/>
      <c r="K36" s="13">
        <f>234+23</f>
        <v>257</v>
      </c>
      <c r="L36" s="13">
        <v>174</v>
      </c>
      <c r="M36" s="13">
        <f>337+146</f>
        <v>483</v>
      </c>
      <c r="N36" s="22">
        <f t="shared" si="0"/>
        <v>3182</v>
      </c>
      <c r="O36" s="89"/>
      <c r="P36" s="90"/>
      <c r="Q36" s="91"/>
    </row>
    <row r="37" spans="1:17">
      <c r="A37" s="34" t="s">
        <v>47</v>
      </c>
      <c r="B37" s="28">
        <v>291</v>
      </c>
      <c r="C37" s="28">
        <f>212+13</f>
        <v>225</v>
      </c>
      <c r="D37" s="28">
        <v>407</v>
      </c>
      <c r="E37" s="13">
        <v>253</v>
      </c>
      <c r="F37" s="71">
        <f>291+971</f>
        <v>1262</v>
      </c>
      <c r="G37" s="13">
        <f>395+374</f>
        <v>769</v>
      </c>
      <c r="H37" s="22">
        <v>371</v>
      </c>
      <c r="I37" s="13">
        <v>571</v>
      </c>
      <c r="J37" s="13">
        <v>440</v>
      </c>
      <c r="K37" s="13"/>
      <c r="L37" s="13"/>
      <c r="M37" s="13"/>
      <c r="N37" s="22">
        <f t="shared" si="0"/>
        <v>4589</v>
      </c>
      <c r="O37" s="89"/>
      <c r="P37" s="90"/>
      <c r="Q37" s="91"/>
    </row>
    <row r="38" spans="1:17">
      <c r="A38" s="34" t="s">
        <v>48</v>
      </c>
      <c r="B38" s="28"/>
      <c r="C38" s="28"/>
      <c r="D38" s="28"/>
      <c r="E38" s="13"/>
      <c r="F38" s="71"/>
      <c r="G38" s="13"/>
      <c r="H38" s="22"/>
      <c r="I38" s="13"/>
      <c r="J38" s="13"/>
      <c r="K38" s="13"/>
      <c r="L38" s="13"/>
      <c r="M38" s="13"/>
      <c r="N38" s="22"/>
      <c r="O38" s="89"/>
      <c r="P38" s="90"/>
      <c r="Q38" s="91"/>
    </row>
    <row r="39" spans="1:17">
      <c r="A39" s="34" t="s">
        <v>49</v>
      </c>
      <c r="B39" s="29">
        <v>0</v>
      </c>
      <c r="C39" s="29">
        <v>0</v>
      </c>
      <c r="D39" s="28">
        <v>37</v>
      </c>
      <c r="E39" s="16">
        <v>415</v>
      </c>
      <c r="F39" s="72">
        <v>77</v>
      </c>
      <c r="G39" s="16">
        <v>51</v>
      </c>
      <c r="H39" s="22">
        <v>24</v>
      </c>
      <c r="I39" s="13">
        <v>26</v>
      </c>
      <c r="J39" s="13">
        <v>14</v>
      </c>
      <c r="K39" s="13">
        <v>35</v>
      </c>
      <c r="L39" s="13">
        <v>87</v>
      </c>
      <c r="M39" s="13">
        <v>259</v>
      </c>
      <c r="N39" s="22">
        <f>B39+C39+D39+E39+F39+G39+H39+I39+J39+K39+L39+M39</f>
        <v>1025</v>
      </c>
      <c r="O39" s="89"/>
      <c r="P39" s="90"/>
      <c r="Q39" s="91"/>
    </row>
    <row r="40" spans="1:17">
      <c r="A40" s="34" t="s">
        <v>50</v>
      </c>
      <c r="B40" s="40">
        <f>SUM(B8:B39)</f>
        <v>512061</v>
      </c>
      <c r="C40" s="40">
        <f>SUM(C8:C39)</f>
        <v>466814</v>
      </c>
      <c r="D40" s="40">
        <f t="shared" ref="D40:F40" si="1">SUM(D8:D39)</f>
        <v>506334</v>
      </c>
      <c r="E40" s="5">
        <f t="shared" si="1"/>
        <v>553263</v>
      </c>
      <c r="F40" s="73">
        <f t="shared" si="1"/>
        <v>551562</v>
      </c>
      <c r="G40" s="5">
        <f>SUM(G8:G39)</f>
        <v>534622</v>
      </c>
      <c r="H40" s="23">
        <f t="shared" ref="H40:N40" si="2">SUM(H8:H39)</f>
        <v>611635</v>
      </c>
      <c r="I40" s="5">
        <f t="shared" si="2"/>
        <v>661364</v>
      </c>
      <c r="J40" s="5">
        <f t="shared" si="2"/>
        <v>611721</v>
      </c>
      <c r="K40" s="5">
        <f t="shared" si="2"/>
        <v>645979</v>
      </c>
      <c r="L40" s="5">
        <f t="shared" si="2"/>
        <v>615544</v>
      </c>
      <c r="M40" s="5">
        <f t="shared" si="2"/>
        <v>678777</v>
      </c>
      <c r="N40" s="23">
        <f t="shared" si="2"/>
        <v>6949676</v>
      </c>
      <c r="O40" s="94"/>
      <c r="P40" s="95"/>
      <c r="Q40" s="96"/>
    </row>
  </sheetData>
  <mergeCells count="4">
    <mergeCell ref="A1:N1"/>
    <mergeCell ref="A2:N2"/>
    <mergeCell ref="A3:N3"/>
    <mergeCell ref="A4:N4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8"/>
  <sheetViews>
    <sheetView workbookViewId="0">
      <selection activeCell="S29" sqref="S29"/>
    </sheetView>
  </sheetViews>
  <sheetFormatPr defaultRowHeight="15"/>
  <cols>
    <col min="1" max="1" width="13.5703125" customWidth="1"/>
    <col min="15" max="15" width="12" customWidth="1"/>
    <col min="16" max="16" width="10.42578125" customWidth="1"/>
  </cols>
  <sheetData>
    <row r="1" spans="1:16" ht="18.7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 ht="18.7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16" ht="18.75">
      <c r="A3" s="99" t="s">
        <v>51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6" ht="18.75">
      <c r="A4" s="100" t="s">
        <v>62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12" t="s">
        <v>63</v>
      </c>
      <c r="P5" s="2" t="s">
        <v>17</v>
      </c>
    </row>
    <row r="6" spans="1:16">
      <c r="A6" s="2" t="s">
        <v>18</v>
      </c>
      <c r="B6" s="3">
        <v>5379</v>
      </c>
      <c r="C6" s="3">
        <v>4599</v>
      </c>
      <c r="D6" s="3">
        <f>4455+412+892+99</f>
        <v>5858</v>
      </c>
      <c r="E6" s="3">
        <f>4439+395+1000+173</f>
        <v>6007</v>
      </c>
      <c r="F6" s="13">
        <f>6327</f>
        <v>6327</v>
      </c>
      <c r="G6" s="13">
        <f>4481+369+1028+254</f>
        <v>6132</v>
      </c>
      <c r="H6" s="3">
        <f>4714+356+1014+150</f>
        <v>6234</v>
      </c>
      <c r="I6" s="3">
        <v>6536</v>
      </c>
      <c r="J6" s="3">
        <v>5973</v>
      </c>
      <c r="K6" s="10">
        <f>2232+2206+413+1058+296</f>
        <v>6205</v>
      </c>
      <c r="L6" s="10">
        <f>4340+409+1164+217</f>
        <v>6130</v>
      </c>
      <c r="M6" s="3">
        <f>4946+408+897+291</f>
        <v>6542</v>
      </c>
      <c r="N6" s="22">
        <f t="shared" ref="N6:N13" si="0">SUM(B6:M6)</f>
        <v>71922</v>
      </c>
      <c r="O6" s="3">
        <v>59876</v>
      </c>
      <c r="P6" s="3">
        <f>(N6-O6)*100/N6</f>
        <v>16.748699980534468</v>
      </c>
    </row>
    <row r="7" spans="1:16">
      <c r="A7" s="2" t="s">
        <v>19</v>
      </c>
      <c r="B7" s="3">
        <f>1632+14+390</f>
        <v>2036</v>
      </c>
      <c r="C7" s="3">
        <f>1470+106+366</f>
        <v>1942</v>
      </c>
      <c r="D7" s="3">
        <f>1737+36+438</f>
        <v>2211</v>
      </c>
      <c r="E7" s="3">
        <f>1709+105+174</f>
        <v>1988</v>
      </c>
      <c r="F7" s="13">
        <v>1870</v>
      </c>
      <c r="G7" s="13">
        <f>1667+93+452</f>
        <v>2212</v>
      </c>
      <c r="H7" s="3">
        <f>1768+50+420</f>
        <v>2238</v>
      </c>
      <c r="I7" s="3">
        <f>1698+48+422</f>
        <v>2168</v>
      </c>
      <c r="J7" s="3">
        <f>1649+56+440</f>
        <v>2145</v>
      </c>
      <c r="K7" s="3">
        <v>2011</v>
      </c>
      <c r="L7" s="3">
        <f>1550+93+198</f>
        <v>1841</v>
      </c>
      <c r="M7" s="3">
        <f>1718+97+450</f>
        <v>2265</v>
      </c>
      <c r="N7" s="22">
        <f t="shared" si="0"/>
        <v>24927</v>
      </c>
      <c r="O7" s="3">
        <v>24712</v>
      </c>
      <c r="P7" s="13">
        <f t="shared" ref="P7:P38" si="1">(N7-O7)*100/N7</f>
        <v>0.86251855417820034</v>
      </c>
    </row>
    <row r="8" spans="1:16">
      <c r="A8" s="2" t="s">
        <v>52</v>
      </c>
      <c r="B8" s="3">
        <f>3400+730</f>
        <v>4130</v>
      </c>
      <c r="C8" s="3">
        <f>3154+668</f>
        <v>3822</v>
      </c>
      <c r="D8" s="3">
        <f>3288+442</f>
        <v>3730</v>
      </c>
      <c r="E8" s="3">
        <f>3362+884</f>
        <v>4246</v>
      </c>
      <c r="F8" s="13">
        <v>4416</v>
      </c>
      <c r="G8" s="13">
        <f>3432+754</f>
        <v>4186</v>
      </c>
      <c r="H8" s="3">
        <f>3570+1052</f>
        <v>4622</v>
      </c>
      <c r="I8" s="3">
        <f>3598+802</f>
        <v>4400</v>
      </c>
      <c r="J8" s="3">
        <f>2374+2374</f>
        <v>4748</v>
      </c>
      <c r="K8" s="3">
        <f>2332+2332</f>
        <v>4664</v>
      </c>
      <c r="L8" s="3">
        <v>4958</v>
      </c>
      <c r="M8" s="3">
        <f>4154+1210</f>
        <v>5364</v>
      </c>
      <c r="N8" s="22">
        <f t="shared" si="0"/>
        <v>53286</v>
      </c>
      <c r="O8" s="3">
        <v>48506</v>
      </c>
      <c r="P8" s="13">
        <f t="shared" si="1"/>
        <v>8.9704612843898968</v>
      </c>
    </row>
    <row r="9" spans="1:16">
      <c r="A9" s="2" t="s">
        <v>53</v>
      </c>
      <c r="B9" s="3">
        <f>326+144</f>
        <v>470</v>
      </c>
      <c r="C9" s="3">
        <f>284+224</f>
        <v>508</v>
      </c>
      <c r="D9" s="3">
        <f>328+122</f>
        <v>450</v>
      </c>
      <c r="E9" s="3">
        <f>312+138</f>
        <v>450</v>
      </c>
      <c r="F9" s="13">
        <v>606</v>
      </c>
      <c r="G9" s="13">
        <f>350+206</f>
        <v>556</v>
      </c>
      <c r="H9" s="3">
        <f>422+174</f>
        <v>596</v>
      </c>
      <c r="I9" s="3">
        <f>358+228</f>
        <v>586</v>
      </c>
      <c r="J9" s="3">
        <f>363+363</f>
        <v>726</v>
      </c>
      <c r="K9" s="3">
        <f>327+327</f>
        <v>654</v>
      </c>
      <c r="L9" s="3">
        <f>424+424</f>
        <v>848</v>
      </c>
      <c r="M9" s="3">
        <f>360+244</f>
        <v>604</v>
      </c>
      <c r="N9" s="22">
        <f t="shared" si="0"/>
        <v>7054</v>
      </c>
      <c r="O9" s="3">
        <v>4400</v>
      </c>
      <c r="P9" s="13">
        <f t="shared" si="1"/>
        <v>37.624043096115678</v>
      </c>
    </row>
    <row r="10" spans="1:16">
      <c r="A10" s="2" t="s">
        <v>22</v>
      </c>
      <c r="B10" s="3">
        <f>1125+220+68+56</f>
        <v>1469</v>
      </c>
      <c r="C10" s="3">
        <f>1178+280+88+62</f>
        <v>1608</v>
      </c>
      <c r="D10" s="3">
        <v>1782</v>
      </c>
      <c r="E10" s="3">
        <f>1224+266+85+42</f>
        <v>1617</v>
      </c>
      <c r="F10" s="13">
        <v>1683</v>
      </c>
      <c r="G10" s="13">
        <f>1209+374+90+55</f>
        <v>1728</v>
      </c>
      <c r="H10" s="3">
        <v>1555</v>
      </c>
      <c r="I10" s="3">
        <f>1333+321+78+46</f>
        <v>1778</v>
      </c>
      <c r="J10" s="3">
        <v>1719</v>
      </c>
      <c r="K10" s="3">
        <v>1716</v>
      </c>
      <c r="L10" s="3">
        <f>605+603+211+200+35+38</f>
        <v>1692</v>
      </c>
      <c r="M10" s="3">
        <f>1326+474+77+85</f>
        <v>1962</v>
      </c>
      <c r="N10" s="22">
        <f t="shared" si="0"/>
        <v>20309</v>
      </c>
      <c r="O10" s="3">
        <v>21163</v>
      </c>
      <c r="P10" s="13">
        <f t="shared" si="1"/>
        <v>-4.2050322517110637</v>
      </c>
    </row>
    <row r="11" spans="1:16">
      <c r="A11" s="2" t="s">
        <v>23</v>
      </c>
      <c r="B11" s="4">
        <f>24+19</f>
        <v>43</v>
      </c>
      <c r="C11" s="4">
        <f>28+17</f>
        <v>45</v>
      </c>
      <c r="D11" s="4">
        <f>24+19</f>
        <v>43</v>
      </c>
      <c r="E11" s="4">
        <v>44</v>
      </c>
      <c r="F11" s="13">
        <v>48</v>
      </c>
      <c r="G11" s="13">
        <f>28+22</f>
        <v>50</v>
      </c>
      <c r="H11" s="3">
        <v>99</v>
      </c>
      <c r="I11" s="3">
        <f>24+25</f>
        <v>49</v>
      </c>
      <c r="J11" s="3">
        <f>35+18</f>
        <v>53</v>
      </c>
      <c r="K11" s="3">
        <v>132</v>
      </c>
      <c r="L11" s="3">
        <f>47+21+77</f>
        <v>145</v>
      </c>
      <c r="M11" s="3">
        <f>12+37+10+39</f>
        <v>98</v>
      </c>
      <c r="N11" s="24">
        <f t="shared" si="0"/>
        <v>849</v>
      </c>
      <c r="O11" s="3">
        <v>1025</v>
      </c>
      <c r="P11" s="13">
        <f t="shared" si="1"/>
        <v>-20.730270906949354</v>
      </c>
    </row>
    <row r="12" spans="1:16">
      <c r="A12" s="2" t="s">
        <v>24</v>
      </c>
      <c r="B12" s="3">
        <v>440</v>
      </c>
      <c r="C12" s="3">
        <f>326+63</f>
        <v>389</v>
      </c>
      <c r="D12" s="3">
        <v>353</v>
      </c>
      <c r="E12" s="3">
        <f>268+83</f>
        <v>351</v>
      </c>
      <c r="F12" s="13">
        <v>351</v>
      </c>
      <c r="G12" s="13">
        <f>240+118</f>
        <v>358</v>
      </c>
      <c r="H12" s="3">
        <f>349+123</f>
        <v>472</v>
      </c>
      <c r="I12" s="3">
        <f>376+52</f>
        <v>428</v>
      </c>
      <c r="J12" s="3">
        <f>346+131</f>
        <v>477</v>
      </c>
      <c r="K12" s="3">
        <v>446</v>
      </c>
      <c r="L12" s="3">
        <f>380+127</f>
        <v>507</v>
      </c>
      <c r="M12" s="3">
        <f>358+108</f>
        <v>466</v>
      </c>
      <c r="N12" s="22">
        <f t="shared" si="0"/>
        <v>5038</v>
      </c>
      <c r="O12" s="3">
        <v>4135</v>
      </c>
      <c r="P12" s="13">
        <f t="shared" si="1"/>
        <v>17.923779277491068</v>
      </c>
    </row>
    <row r="13" spans="1:16">
      <c r="A13" s="2" t="s">
        <v>25</v>
      </c>
      <c r="B13" s="3">
        <v>139</v>
      </c>
      <c r="C13" s="3">
        <f>106+8+7</f>
        <v>121</v>
      </c>
      <c r="D13" s="3">
        <v>125</v>
      </c>
      <c r="E13" s="3">
        <f>105+18+8</f>
        <v>131</v>
      </c>
      <c r="F13" s="13">
        <v>151</v>
      </c>
      <c r="G13" s="13">
        <v>155</v>
      </c>
      <c r="H13" s="3">
        <v>28</v>
      </c>
      <c r="I13" s="3">
        <f>161+32+14</f>
        <v>207</v>
      </c>
      <c r="J13" s="3">
        <f>196+14+12</f>
        <v>222</v>
      </c>
      <c r="K13" s="3">
        <v>169</v>
      </c>
      <c r="L13" s="3">
        <f>170+21+14</f>
        <v>205</v>
      </c>
      <c r="M13" s="3">
        <f>159+9+11</f>
        <v>179</v>
      </c>
      <c r="N13" s="22">
        <f t="shared" si="0"/>
        <v>1832</v>
      </c>
      <c r="O13" s="3">
        <v>1971</v>
      </c>
      <c r="P13" s="13">
        <f t="shared" si="1"/>
        <v>-7.5873362445414845</v>
      </c>
    </row>
    <row r="14" spans="1:16">
      <c r="A14" s="2" t="s">
        <v>26</v>
      </c>
      <c r="B14" s="3"/>
      <c r="C14" s="3"/>
      <c r="D14" s="3"/>
      <c r="E14" s="3"/>
      <c r="F14" s="32"/>
      <c r="G14" s="32"/>
      <c r="H14" s="3"/>
      <c r="I14" s="3"/>
      <c r="J14" s="3"/>
      <c r="K14" s="3"/>
      <c r="L14" s="3"/>
      <c r="M14" s="3"/>
      <c r="N14" s="17"/>
      <c r="O14" s="3">
        <v>6286</v>
      </c>
      <c r="P14" s="14"/>
    </row>
    <row r="15" spans="1:16">
      <c r="A15" s="2" t="s">
        <v>27</v>
      </c>
      <c r="B15" s="3">
        <f>816+14</f>
        <v>830</v>
      </c>
      <c r="C15" s="3">
        <f>830+18</f>
        <v>848</v>
      </c>
      <c r="D15" s="3">
        <f>940+66</f>
        <v>1006</v>
      </c>
      <c r="E15" s="3">
        <f>946+92</f>
        <v>1038</v>
      </c>
      <c r="F15" s="13">
        <v>1018</v>
      </c>
      <c r="G15" s="13">
        <v>1228</v>
      </c>
      <c r="H15" s="3">
        <v>1094</v>
      </c>
      <c r="I15" s="3">
        <v>1142</v>
      </c>
      <c r="J15" s="3">
        <f>884</f>
        <v>884</v>
      </c>
      <c r="K15" s="3">
        <v>1194</v>
      </c>
      <c r="L15" s="3"/>
      <c r="M15" s="3">
        <v>1332</v>
      </c>
      <c r="N15" s="22">
        <f t="shared" ref="N15:N37" si="2">SUM(B15:M15)</f>
        <v>11614</v>
      </c>
      <c r="O15" s="3">
        <v>12939</v>
      </c>
      <c r="P15" s="13">
        <f t="shared" si="1"/>
        <v>-11.408644739107974</v>
      </c>
    </row>
    <row r="16" spans="1:16">
      <c r="A16" s="2" t="s">
        <v>28</v>
      </c>
      <c r="B16" s="3">
        <f>200+179</f>
        <v>379</v>
      </c>
      <c r="C16" s="3">
        <f>200+217</f>
        <v>417</v>
      </c>
      <c r="D16" s="3">
        <f>418</f>
        <v>418</v>
      </c>
      <c r="E16" s="3">
        <f>238+243</f>
        <v>481</v>
      </c>
      <c r="F16" s="13">
        <v>609</v>
      </c>
      <c r="G16" s="13">
        <v>429</v>
      </c>
      <c r="H16" s="4">
        <v>592</v>
      </c>
      <c r="I16" s="4">
        <v>574</v>
      </c>
      <c r="J16" s="6">
        <v>388</v>
      </c>
      <c r="K16" s="6">
        <f>189+274</f>
        <v>463</v>
      </c>
      <c r="L16" s="6">
        <f>81+83+125+119</f>
        <v>408</v>
      </c>
      <c r="M16" s="4">
        <v>474</v>
      </c>
      <c r="N16" s="22">
        <f t="shared" si="2"/>
        <v>5632</v>
      </c>
      <c r="O16" s="4">
        <v>3431</v>
      </c>
      <c r="P16" s="13">
        <f t="shared" si="1"/>
        <v>39.08025568181818</v>
      </c>
    </row>
    <row r="17" spans="1:16">
      <c r="A17" s="2" t="s">
        <v>29</v>
      </c>
      <c r="B17" s="14">
        <v>0</v>
      </c>
      <c r="C17" s="4">
        <v>0</v>
      </c>
      <c r="D17" s="4">
        <v>0</v>
      </c>
      <c r="E17" s="6">
        <v>0</v>
      </c>
      <c r="F17" s="16">
        <v>0</v>
      </c>
      <c r="G17" s="14">
        <v>0</v>
      </c>
      <c r="H17" s="6">
        <v>0</v>
      </c>
      <c r="I17" s="6">
        <v>0</v>
      </c>
      <c r="J17" s="7">
        <v>4</v>
      </c>
      <c r="K17" s="7">
        <v>22</v>
      </c>
      <c r="L17" s="8">
        <v>10</v>
      </c>
      <c r="M17" s="6">
        <v>28</v>
      </c>
      <c r="N17" s="22">
        <f t="shared" si="2"/>
        <v>64</v>
      </c>
      <c r="O17" s="6">
        <v>25</v>
      </c>
      <c r="P17" s="13">
        <f t="shared" si="1"/>
        <v>60.9375</v>
      </c>
    </row>
    <row r="18" spans="1:16">
      <c r="A18" s="2" t="s">
        <v>54</v>
      </c>
      <c r="B18" s="3">
        <f>336+286</f>
        <v>622</v>
      </c>
      <c r="C18" s="3">
        <f>668</f>
        <v>668</v>
      </c>
      <c r="D18" s="3">
        <v>676</v>
      </c>
      <c r="E18" s="3">
        <v>700</v>
      </c>
      <c r="F18" s="13">
        <f>168+168+180+180</f>
        <v>696</v>
      </c>
      <c r="G18" s="13">
        <v>696</v>
      </c>
      <c r="H18" s="3">
        <v>653</v>
      </c>
      <c r="I18" s="3">
        <v>727</v>
      </c>
      <c r="J18" s="3">
        <v>666</v>
      </c>
      <c r="K18" s="3">
        <v>712</v>
      </c>
      <c r="L18" s="3">
        <f>148+148+217+217</f>
        <v>730</v>
      </c>
      <c r="M18" s="3">
        <f>145+145+223+223</f>
        <v>736</v>
      </c>
      <c r="N18" s="22">
        <f t="shared" si="2"/>
        <v>8282</v>
      </c>
      <c r="O18" s="3">
        <v>7622</v>
      </c>
      <c r="P18" s="13">
        <f t="shared" si="1"/>
        <v>7.9690895918860178</v>
      </c>
    </row>
    <row r="19" spans="1:16">
      <c r="A19" s="2" t="s">
        <v>55</v>
      </c>
      <c r="B19" s="3">
        <v>6</v>
      </c>
      <c r="C19" s="3">
        <v>4</v>
      </c>
      <c r="D19" s="4">
        <v>2</v>
      </c>
      <c r="E19" s="4">
        <v>2</v>
      </c>
      <c r="F19" s="13">
        <v>6</v>
      </c>
      <c r="G19" s="13">
        <v>2</v>
      </c>
      <c r="H19" s="4">
        <v>0</v>
      </c>
      <c r="I19" s="4">
        <v>0</v>
      </c>
      <c r="J19" s="16">
        <v>0</v>
      </c>
      <c r="K19" s="16">
        <v>0</v>
      </c>
      <c r="L19" s="16">
        <v>0</v>
      </c>
      <c r="M19" s="16">
        <v>2</v>
      </c>
      <c r="N19" s="21">
        <f t="shared" si="2"/>
        <v>24</v>
      </c>
      <c r="O19" s="3">
        <v>35</v>
      </c>
      <c r="P19" s="13">
        <f t="shared" si="1"/>
        <v>-45.833333333333336</v>
      </c>
    </row>
    <row r="20" spans="1:16">
      <c r="A20" s="2" t="s">
        <v>32</v>
      </c>
      <c r="B20" s="3">
        <f>70+45</f>
        <v>115</v>
      </c>
      <c r="C20" s="3">
        <f>72+58</f>
        <v>130</v>
      </c>
      <c r="D20" s="3">
        <f>72+56</f>
        <v>128</v>
      </c>
      <c r="E20" s="3">
        <v>108</v>
      </c>
      <c r="F20" s="13">
        <v>147</v>
      </c>
      <c r="G20" s="13">
        <v>131</v>
      </c>
      <c r="H20" s="3">
        <v>155</v>
      </c>
      <c r="I20" s="3">
        <f>106+42</f>
        <v>148</v>
      </c>
      <c r="J20" s="3">
        <v>174</v>
      </c>
      <c r="K20" s="3">
        <f>112+111</f>
        <v>223</v>
      </c>
      <c r="L20" s="3">
        <f>102+54</f>
        <v>156</v>
      </c>
      <c r="M20" s="3">
        <f>106+66</f>
        <v>172</v>
      </c>
      <c r="N20" s="22">
        <f t="shared" si="2"/>
        <v>1787</v>
      </c>
      <c r="O20" s="3">
        <v>1109</v>
      </c>
      <c r="P20" s="13">
        <f t="shared" si="1"/>
        <v>37.940682708449913</v>
      </c>
    </row>
    <row r="21" spans="1:16">
      <c r="A21" s="2" t="s">
        <v>33</v>
      </c>
      <c r="B21" s="14">
        <f>0</f>
        <v>0</v>
      </c>
      <c r="C21" s="4">
        <v>0</v>
      </c>
      <c r="D21" s="4">
        <v>0</v>
      </c>
      <c r="E21" s="4">
        <v>0</v>
      </c>
      <c r="F21" s="16">
        <v>0</v>
      </c>
      <c r="G21" s="16">
        <v>0</v>
      </c>
      <c r="H21" s="4">
        <v>0</v>
      </c>
      <c r="I21" s="4">
        <v>5</v>
      </c>
      <c r="J21" s="14">
        <v>4</v>
      </c>
      <c r="K21" s="3">
        <v>57</v>
      </c>
      <c r="L21" s="3">
        <v>29</v>
      </c>
      <c r="M21" s="3">
        <v>35</v>
      </c>
      <c r="N21" s="22">
        <f t="shared" si="2"/>
        <v>130</v>
      </c>
      <c r="O21" s="3">
        <v>177</v>
      </c>
      <c r="P21" s="13">
        <f t="shared" si="1"/>
        <v>-36.153846153846153</v>
      </c>
    </row>
    <row r="22" spans="1:16">
      <c r="A22" s="2" t="s">
        <v>34</v>
      </c>
      <c r="B22" s="3">
        <f>472+55</f>
        <v>527</v>
      </c>
      <c r="C22" s="3">
        <f>480+104</f>
        <v>584</v>
      </c>
      <c r="D22" s="3">
        <f>498+83</f>
        <v>581</v>
      </c>
      <c r="E22" s="3">
        <v>580</v>
      </c>
      <c r="F22" s="13">
        <v>562</v>
      </c>
      <c r="G22" s="13">
        <v>550</v>
      </c>
      <c r="H22" s="3">
        <v>596</v>
      </c>
      <c r="I22" s="3">
        <v>572</v>
      </c>
      <c r="J22" s="3">
        <v>572</v>
      </c>
      <c r="K22" s="3">
        <v>580</v>
      </c>
      <c r="L22" s="3">
        <v>529</v>
      </c>
      <c r="M22" s="3">
        <v>848</v>
      </c>
      <c r="N22" s="22">
        <f t="shared" si="2"/>
        <v>7081</v>
      </c>
      <c r="O22" s="3">
        <v>7330</v>
      </c>
      <c r="P22" s="13">
        <f t="shared" si="1"/>
        <v>-3.5164524784634938</v>
      </c>
    </row>
    <row r="23" spans="1:16">
      <c r="A23" s="2" t="s">
        <v>35</v>
      </c>
      <c r="B23" s="3">
        <f>101+30</f>
        <v>131</v>
      </c>
      <c r="C23" s="3">
        <f>94+3</f>
        <v>97</v>
      </c>
      <c r="D23" s="3">
        <f>94+30</f>
        <v>124</v>
      </c>
      <c r="E23" s="3">
        <f>102+32</f>
        <v>134</v>
      </c>
      <c r="F23" s="13">
        <v>135</v>
      </c>
      <c r="G23" s="13">
        <v>153</v>
      </c>
      <c r="H23" s="3">
        <f>104+73</f>
        <v>177</v>
      </c>
      <c r="I23" s="3">
        <f>115+67</f>
        <v>182</v>
      </c>
      <c r="J23" s="3">
        <f>93+25</f>
        <v>118</v>
      </c>
      <c r="K23" s="3">
        <f>102+50</f>
        <v>152</v>
      </c>
      <c r="L23" s="3">
        <f>86+84</f>
        <v>170</v>
      </c>
      <c r="M23" s="3">
        <v>200</v>
      </c>
      <c r="N23" s="22">
        <f t="shared" si="2"/>
        <v>1773</v>
      </c>
      <c r="O23" s="3">
        <v>1766</v>
      </c>
      <c r="P23" s="13">
        <f t="shared" si="1"/>
        <v>0.39481105470953187</v>
      </c>
    </row>
    <row r="24" spans="1:16">
      <c r="A24" s="2" t="s">
        <v>36</v>
      </c>
      <c r="B24" s="3">
        <v>4</v>
      </c>
      <c r="C24" s="4">
        <v>34</v>
      </c>
      <c r="D24" s="3">
        <v>11</v>
      </c>
      <c r="E24" s="3">
        <v>4</v>
      </c>
      <c r="F24" s="13">
        <v>4</v>
      </c>
      <c r="G24" s="14">
        <v>0</v>
      </c>
      <c r="H24" s="3">
        <v>13</v>
      </c>
      <c r="I24" s="3">
        <f>14+18</f>
        <v>32</v>
      </c>
      <c r="J24" s="3">
        <f>14+11</f>
        <v>25</v>
      </c>
      <c r="K24" s="3">
        <v>50</v>
      </c>
      <c r="L24" s="3">
        <f>12+14</f>
        <v>26</v>
      </c>
      <c r="M24" s="3">
        <v>31</v>
      </c>
      <c r="N24" s="22">
        <f t="shared" si="2"/>
        <v>234</v>
      </c>
      <c r="O24" s="3">
        <v>130</v>
      </c>
      <c r="P24" s="13">
        <f t="shared" si="1"/>
        <v>44.444444444444443</v>
      </c>
    </row>
    <row r="25" spans="1:16">
      <c r="A25" s="2" t="s">
        <v>37</v>
      </c>
      <c r="B25" s="3">
        <f>90+72</f>
        <v>162</v>
      </c>
      <c r="C25" s="3">
        <v>130</v>
      </c>
      <c r="D25" s="3">
        <f>114+38</f>
        <v>152</v>
      </c>
      <c r="E25" s="3">
        <f>116+28</f>
        <v>144</v>
      </c>
      <c r="F25" s="13">
        <v>160</v>
      </c>
      <c r="G25" s="13">
        <v>172</v>
      </c>
      <c r="H25" s="3">
        <f>116+56</f>
        <v>172</v>
      </c>
      <c r="I25" s="3">
        <v>134</v>
      </c>
      <c r="J25" s="3">
        <v>141</v>
      </c>
      <c r="K25" s="3">
        <v>94</v>
      </c>
      <c r="L25" s="3">
        <v>78</v>
      </c>
      <c r="M25" s="3">
        <f>56+52</f>
        <v>108</v>
      </c>
      <c r="N25" s="22">
        <f t="shared" si="2"/>
        <v>1647</v>
      </c>
      <c r="O25" s="3">
        <v>1124</v>
      </c>
      <c r="P25" s="13">
        <f t="shared" si="1"/>
        <v>31.754705525197327</v>
      </c>
    </row>
    <row r="26" spans="1:16">
      <c r="A26" s="2" t="s">
        <v>38</v>
      </c>
      <c r="B26" s="3">
        <f>360+40</f>
        <v>400</v>
      </c>
      <c r="C26" s="3">
        <f>434+40</f>
        <v>474</v>
      </c>
      <c r="D26" s="3">
        <f>472+98</f>
        <v>570</v>
      </c>
      <c r="E26" s="3">
        <v>558</v>
      </c>
      <c r="F26" s="13">
        <v>518</v>
      </c>
      <c r="G26" s="13">
        <v>508</v>
      </c>
      <c r="H26" s="3">
        <v>602</v>
      </c>
      <c r="I26" s="3">
        <v>604</v>
      </c>
      <c r="J26" s="13" t="s">
        <v>95</v>
      </c>
      <c r="K26" s="3">
        <v>630</v>
      </c>
      <c r="L26" s="3">
        <f>272+272</f>
        <v>544</v>
      </c>
      <c r="M26" s="3">
        <v>620</v>
      </c>
      <c r="N26" s="22">
        <f t="shared" si="2"/>
        <v>6028</v>
      </c>
      <c r="O26" s="3">
        <v>4362</v>
      </c>
      <c r="P26" s="13">
        <f t="shared" si="1"/>
        <v>27.637690776376907</v>
      </c>
    </row>
    <row r="27" spans="1:16">
      <c r="A27" s="2" t="s">
        <v>39</v>
      </c>
      <c r="B27" s="3">
        <f>72+69</f>
        <v>141</v>
      </c>
      <c r="C27" s="3">
        <f>168+26</f>
        <v>194</v>
      </c>
      <c r="D27" s="3">
        <f>162+110</f>
        <v>272</v>
      </c>
      <c r="E27" s="3">
        <f>168+64</f>
        <v>232</v>
      </c>
      <c r="F27" s="13">
        <v>176</v>
      </c>
      <c r="G27" s="13">
        <v>229</v>
      </c>
      <c r="H27" s="3">
        <v>137</v>
      </c>
      <c r="I27" s="3">
        <v>151</v>
      </c>
      <c r="J27" s="3">
        <f>81+80</f>
        <v>161</v>
      </c>
      <c r="K27" s="3">
        <v>178</v>
      </c>
      <c r="L27" s="3">
        <v>190</v>
      </c>
      <c r="M27" s="3">
        <f>118+98</f>
        <v>216</v>
      </c>
      <c r="N27" s="22">
        <f t="shared" si="2"/>
        <v>2277</v>
      </c>
      <c r="O27" s="3">
        <v>1866</v>
      </c>
      <c r="P27" s="13">
        <f t="shared" si="1"/>
        <v>18.050065876152832</v>
      </c>
    </row>
    <row r="28" spans="1:16">
      <c r="A28" s="2" t="s">
        <v>40</v>
      </c>
      <c r="B28" s="3">
        <v>1</v>
      </c>
      <c r="C28" s="4">
        <v>0</v>
      </c>
      <c r="D28" s="4">
        <v>0</v>
      </c>
      <c r="E28" s="4">
        <v>0</v>
      </c>
      <c r="F28" s="16">
        <v>0</v>
      </c>
      <c r="G28" s="16">
        <v>0</v>
      </c>
      <c r="H28" s="4">
        <v>0</v>
      </c>
      <c r="I28" s="4">
        <v>2</v>
      </c>
      <c r="J28" s="4">
        <v>2</v>
      </c>
      <c r="K28" s="3">
        <v>20</v>
      </c>
      <c r="L28" s="3">
        <v>28</v>
      </c>
      <c r="M28" s="3">
        <v>12</v>
      </c>
      <c r="N28" s="22">
        <f t="shared" si="2"/>
        <v>65</v>
      </c>
      <c r="O28" s="3">
        <v>86</v>
      </c>
      <c r="P28" s="13">
        <f t="shared" si="1"/>
        <v>-32.307692307692307</v>
      </c>
    </row>
    <row r="29" spans="1:16">
      <c r="A29" s="2" t="s">
        <v>41</v>
      </c>
      <c r="B29" s="3">
        <f>148+98</f>
        <v>246</v>
      </c>
      <c r="C29" s="3">
        <v>212</v>
      </c>
      <c r="D29" s="3">
        <v>280</v>
      </c>
      <c r="E29" s="3">
        <f>156+58</f>
        <v>214</v>
      </c>
      <c r="F29" s="13">
        <v>310</v>
      </c>
      <c r="G29" s="13">
        <v>222</v>
      </c>
      <c r="H29" s="3">
        <v>183</v>
      </c>
      <c r="I29" s="3">
        <v>250</v>
      </c>
      <c r="J29" s="3">
        <f>95+95+43+43</f>
        <v>276</v>
      </c>
      <c r="K29" s="3">
        <v>310</v>
      </c>
      <c r="L29" s="3">
        <v>214</v>
      </c>
      <c r="M29" s="3">
        <v>238</v>
      </c>
      <c r="N29" s="22">
        <f t="shared" si="2"/>
        <v>2955</v>
      </c>
      <c r="O29" s="3">
        <v>2976</v>
      </c>
      <c r="P29" s="13">
        <f t="shared" si="1"/>
        <v>-0.71065989847715738</v>
      </c>
    </row>
    <row r="30" spans="1:16">
      <c r="A30" s="2" t="s">
        <v>42</v>
      </c>
      <c r="B30" s="14">
        <v>0</v>
      </c>
      <c r="C30" s="4">
        <v>2</v>
      </c>
      <c r="D30" s="4">
        <v>0</v>
      </c>
      <c r="E30" s="6">
        <v>2</v>
      </c>
      <c r="F30" s="16">
        <v>0</v>
      </c>
      <c r="G30" s="16">
        <v>0</v>
      </c>
      <c r="H30" s="6">
        <v>0</v>
      </c>
      <c r="I30" s="6">
        <v>0</v>
      </c>
      <c r="J30" s="6">
        <v>0</v>
      </c>
      <c r="K30" s="6">
        <v>24</v>
      </c>
      <c r="L30" s="6">
        <f>17+17</f>
        <v>34</v>
      </c>
      <c r="M30" s="6">
        <v>18</v>
      </c>
      <c r="N30" s="24">
        <f t="shared" si="2"/>
        <v>80</v>
      </c>
      <c r="O30" s="6">
        <v>28</v>
      </c>
      <c r="P30" s="13">
        <f t="shared" si="1"/>
        <v>65</v>
      </c>
    </row>
    <row r="31" spans="1:16">
      <c r="A31" s="2" t="s">
        <v>43</v>
      </c>
      <c r="B31" s="3">
        <f>172+56</f>
        <v>228</v>
      </c>
      <c r="C31" s="3"/>
      <c r="D31" s="3">
        <v>242</v>
      </c>
      <c r="E31" s="3">
        <f>176+30</f>
        <v>206</v>
      </c>
      <c r="F31" s="13">
        <v>228</v>
      </c>
      <c r="G31" s="13">
        <v>228</v>
      </c>
      <c r="H31" s="3">
        <v>113</v>
      </c>
      <c r="I31" s="3">
        <v>244</v>
      </c>
      <c r="J31" s="3">
        <v>256</v>
      </c>
      <c r="K31" s="3">
        <v>232</v>
      </c>
      <c r="L31" s="3">
        <v>298</v>
      </c>
      <c r="M31" s="3">
        <v>292</v>
      </c>
      <c r="N31" s="22">
        <f t="shared" si="2"/>
        <v>2567</v>
      </c>
      <c r="O31" s="3">
        <v>1258</v>
      </c>
      <c r="P31" s="13">
        <f t="shared" si="1"/>
        <v>50.993377483443709</v>
      </c>
    </row>
    <row r="32" spans="1:16">
      <c r="A32" s="2" t="s">
        <v>44</v>
      </c>
      <c r="B32" s="3">
        <f>28+88</f>
        <v>116</v>
      </c>
      <c r="C32" s="3">
        <v>34</v>
      </c>
      <c r="D32" s="3">
        <v>90</v>
      </c>
      <c r="E32" s="3">
        <f>22+64</f>
        <v>86</v>
      </c>
      <c r="F32" s="13">
        <v>96</v>
      </c>
      <c r="G32" s="13">
        <v>58</v>
      </c>
      <c r="H32" s="3">
        <f>17+17</f>
        <v>34</v>
      </c>
      <c r="I32" s="9">
        <v>18</v>
      </c>
      <c r="J32" s="3">
        <v>56</v>
      </c>
      <c r="K32" s="3">
        <v>48</v>
      </c>
      <c r="L32" s="3">
        <v>30</v>
      </c>
      <c r="M32" s="3">
        <v>38</v>
      </c>
      <c r="N32" s="22">
        <f t="shared" si="2"/>
        <v>704</v>
      </c>
      <c r="O32" s="3">
        <v>574</v>
      </c>
      <c r="P32" s="13">
        <f t="shared" si="1"/>
        <v>18.46590909090909</v>
      </c>
    </row>
    <row r="33" spans="1:16">
      <c r="A33" s="2" t="s">
        <v>45</v>
      </c>
      <c r="B33" s="4">
        <f>0</f>
        <v>0</v>
      </c>
      <c r="C33" s="4">
        <v>0</v>
      </c>
      <c r="D33" s="4">
        <v>0</v>
      </c>
      <c r="E33" s="4">
        <v>0</v>
      </c>
      <c r="F33" s="16">
        <v>0</v>
      </c>
      <c r="G33" s="16">
        <v>0</v>
      </c>
      <c r="H33" s="16"/>
      <c r="I33" s="4">
        <v>0</v>
      </c>
      <c r="J33" s="4">
        <v>0</v>
      </c>
      <c r="K33" s="4">
        <v>18</v>
      </c>
      <c r="L33" s="4">
        <v>8</v>
      </c>
      <c r="M33" s="4">
        <v>10</v>
      </c>
      <c r="N33" s="24">
        <f>SUM(K33:M33)</f>
        <v>36</v>
      </c>
      <c r="O33" s="4">
        <v>0</v>
      </c>
      <c r="P33" s="13">
        <f t="shared" si="1"/>
        <v>100</v>
      </c>
    </row>
    <row r="34" spans="1:16">
      <c r="A34" s="2" t="s">
        <v>46</v>
      </c>
      <c r="B34" s="3"/>
      <c r="C34" s="3">
        <v>60</v>
      </c>
      <c r="D34" s="3">
        <v>58</v>
      </c>
      <c r="E34" s="3"/>
      <c r="F34" s="13">
        <v>42</v>
      </c>
      <c r="G34" s="13"/>
      <c r="H34" s="3">
        <v>58</v>
      </c>
      <c r="I34" s="3"/>
      <c r="J34" s="3"/>
      <c r="K34" s="3">
        <v>60</v>
      </c>
      <c r="L34" s="3">
        <v>58</v>
      </c>
      <c r="M34" s="3">
        <v>88</v>
      </c>
      <c r="N34" s="22">
        <f t="shared" si="2"/>
        <v>424</v>
      </c>
      <c r="O34" s="3">
        <v>974</v>
      </c>
      <c r="P34" s="13">
        <f t="shared" si="1"/>
        <v>-129.71698113207546</v>
      </c>
    </row>
    <row r="35" spans="1:16">
      <c r="A35" s="2" t="s">
        <v>47</v>
      </c>
      <c r="B35" s="3">
        <v>24</v>
      </c>
      <c r="C35" s="3">
        <v>24</v>
      </c>
      <c r="D35" s="3">
        <v>60</v>
      </c>
      <c r="E35" s="3">
        <v>44</v>
      </c>
      <c r="F35" s="13">
        <v>292</v>
      </c>
      <c r="G35" s="13">
        <v>82</v>
      </c>
      <c r="H35" s="3">
        <v>68</v>
      </c>
      <c r="I35" s="3">
        <v>62</v>
      </c>
      <c r="J35" s="3">
        <v>64</v>
      </c>
      <c r="K35" s="3"/>
      <c r="L35" s="3"/>
      <c r="M35" s="3"/>
      <c r="N35" s="22">
        <f t="shared" si="2"/>
        <v>720</v>
      </c>
      <c r="O35" s="3">
        <v>692</v>
      </c>
      <c r="P35" s="13">
        <f t="shared" si="1"/>
        <v>3.8888888888888888</v>
      </c>
    </row>
    <row r="36" spans="1:16">
      <c r="A36" s="2" t="s">
        <v>48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/>
      <c r="L36" s="3"/>
      <c r="M36" s="3"/>
      <c r="N36" s="24">
        <f t="shared" si="2"/>
        <v>0</v>
      </c>
      <c r="O36" s="3">
        <v>34</v>
      </c>
      <c r="P36" s="13"/>
    </row>
    <row r="37" spans="1:16">
      <c r="A37" s="2" t="s">
        <v>49</v>
      </c>
      <c r="B37" s="14">
        <v>0</v>
      </c>
      <c r="C37" s="14">
        <v>0</v>
      </c>
      <c r="D37" s="3">
        <v>22</v>
      </c>
      <c r="E37" s="3">
        <v>88</v>
      </c>
      <c r="F37" s="3">
        <v>46</v>
      </c>
      <c r="G37" s="3">
        <v>26</v>
      </c>
      <c r="H37" s="3">
        <v>16</v>
      </c>
      <c r="I37" s="3">
        <v>22</v>
      </c>
      <c r="J37" s="3">
        <v>2</v>
      </c>
      <c r="K37" s="3">
        <v>22</v>
      </c>
      <c r="L37" s="3">
        <v>22</v>
      </c>
      <c r="M37" s="4">
        <v>70</v>
      </c>
      <c r="N37" s="22">
        <f t="shared" si="2"/>
        <v>336</v>
      </c>
      <c r="O37" s="3">
        <v>660</v>
      </c>
      <c r="P37" s="13">
        <f t="shared" si="1"/>
        <v>-96.428571428571431</v>
      </c>
    </row>
    <row r="38" spans="1:16">
      <c r="A38" s="2" t="s">
        <v>50</v>
      </c>
      <c r="B38" s="5">
        <f t="shared" ref="B38:K38" si="3">SUM(B6:B37)</f>
        <v>18038</v>
      </c>
      <c r="C38" s="5">
        <f>SUM(C6:C37)</f>
        <v>16946</v>
      </c>
      <c r="D38" s="5">
        <f t="shared" si="3"/>
        <v>19244</v>
      </c>
      <c r="E38" s="5">
        <f>SUM(E6:E37)</f>
        <v>19455</v>
      </c>
      <c r="F38" s="5">
        <f t="shared" si="3"/>
        <v>20497</v>
      </c>
      <c r="G38" s="5">
        <f t="shared" si="3"/>
        <v>20091</v>
      </c>
      <c r="H38" s="5">
        <f t="shared" si="3"/>
        <v>20507</v>
      </c>
      <c r="I38" s="5">
        <f t="shared" si="3"/>
        <v>21021</v>
      </c>
      <c r="J38" s="5">
        <f>SUM(J6:J37)</f>
        <v>19856</v>
      </c>
      <c r="K38" s="5">
        <f t="shared" si="3"/>
        <v>21086</v>
      </c>
      <c r="L38" s="5">
        <f>SUM(L6:L37)</f>
        <v>19888</v>
      </c>
      <c r="M38" s="5">
        <f>SUM(M6:M37)</f>
        <v>23048</v>
      </c>
      <c r="N38" s="23">
        <f>SUM(N6:N37)</f>
        <v>239677</v>
      </c>
      <c r="O38" s="5">
        <v>221272</v>
      </c>
      <c r="P38" s="5">
        <f t="shared" si="1"/>
        <v>7.679084768250604</v>
      </c>
    </row>
  </sheetData>
  <mergeCells count="4">
    <mergeCell ref="A1:P1"/>
    <mergeCell ref="A2:P2"/>
    <mergeCell ref="A3:P3"/>
    <mergeCell ref="A4:P4"/>
  </mergeCells>
  <pageMargins left="0.7" right="0.7" top="0.75" bottom="0.75" header="0.3" footer="0.3"/>
  <pageSetup scale="78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1"/>
  <sheetViews>
    <sheetView topLeftCell="A5" workbookViewId="0">
      <selection activeCell="D37" sqref="D37:D39"/>
    </sheetView>
  </sheetViews>
  <sheetFormatPr defaultRowHeight="15"/>
  <cols>
    <col min="2" max="2" width="13.7109375" customWidth="1"/>
    <col min="3" max="5" width="18.7109375" bestFit="1" customWidth="1"/>
    <col min="6" max="7" width="17.28515625" bestFit="1" customWidth="1"/>
    <col min="8" max="8" width="18.7109375" bestFit="1" customWidth="1"/>
    <col min="9" max="9" width="17.28515625" bestFit="1" customWidth="1"/>
    <col min="10" max="11" width="18.7109375" bestFit="1" customWidth="1"/>
    <col min="12" max="12" width="17.7109375" bestFit="1" customWidth="1"/>
    <col min="13" max="13" width="18.7109375" bestFit="1" customWidth="1"/>
    <col min="14" max="14" width="14.85546875" customWidth="1"/>
    <col min="15" max="15" width="13" customWidth="1"/>
    <col min="16" max="16" width="10.7109375" customWidth="1"/>
  </cols>
  <sheetData>
    <row r="1" spans="1:16" ht="18.7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6" ht="18.7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6" ht="18.75">
      <c r="A3" s="99" t="s">
        <v>56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6" ht="18.75">
      <c r="A4" s="99" t="s">
        <v>62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7" spans="1:16">
      <c r="A7" s="7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6">
      <c r="A8" s="98" t="s">
        <v>3</v>
      </c>
      <c r="B8" s="18" t="s">
        <v>4</v>
      </c>
      <c r="C8" s="18" t="s">
        <v>5</v>
      </c>
      <c r="D8" s="18" t="s">
        <v>6</v>
      </c>
      <c r="E8" s="18" t="s">
        <v>7</v>
      </c>
      <c r="F8" s="18" t="s">
        <v>8</v>
      </c>
      <c r="G8" s="18" t="s">
        <v>9</v>
      </c>
      <c r="H8" s="18" t="s">
        <v>10</v>
      </c>
      <c r="I8" s="18" t="s">
        <v>11</v>
      </c>
      <c r="J8" s="18" t="s">
        <v>12</v>
      </c>
      <c r="K8" s="18" t="s">
        <v>13</v>
      </c>
      <c r="L8" s="18" t="s">
        <v>14</v>
      </c>
      <c r="M8" s="18" t="s">
        <v>15</v>
      </c>
      <c r="N8" s="18" t="s">
        <v>16</v>
      </c>
      <c r="O8" s="18" t="s">
        <v>63</v>
      </c>
      <c r="P8" s="18" t="s">
        <v>17</v>
      </c>
    </row>
    <row r="9" spans="1:16">
      <c r="A9" s="18" t="s">
        <v>57</v>
      </c>
      <c r="B9" s="19">
        <f>5077203.2+1277984+3372821+1726050</f>
        <v>11454058.199999999</v>
      </c>
      <c r="C9" s="19">
        <f>5121479.5+3700896+3162010</f>
        <v>11984385.5</v>
      </c>
      <c r="D9" s="19">
        <f>2145409+1038099+6308581.88+1321842+6745550</f>
        <v>17559481.879999999</v>
      </c>
      <c r="E9" s="19">
        <v>17706830.34</v>
      </c>
      <c r="F9" s="19">
        <f>8970931.8+1793608+2429315+1660572+6370950</f>
        <v>21225376.800000001</v>
      </c>
      <c r="G9" s="19">
        <f>6240890.88+1492201+4052905+2021141</f>
        <v>13807137.879999999</v>
      </c>
      <c r="H9" s="19">
        <f>5566989.13+1438838+1818983+1250344+3256320</f>
        <v>13331474.129999999</v>
      </c>
      <c r="I9" s="19">
        <f>10942298.95+8827</f>
        <v>10951125.949999999</v>
      </c>
      <c r="J9" s="19">
        <f>12060759+48962</f>
        <v>12109721</v>
      </c>
      <c r="K9" s="19">
        <f>6609126.59+1553193+4069635+32875</f>
        <v>12264829.59</v>
      </c>
      <c r="L9" s="19">
        <f>14038971.68+58849</f>
        <v>14097820.68</v>
      </c>
      <c r="M9" s="19">
        <f>15030449.64+74401.3</f>
        <v>15104850.940000001</v>
      </c>
      <c r="N9" s="19">
        <f t="shared" ref="N9:N15" si="0">SUM(B9:M9)</f>
        <v>171597092.88999999</v>
      </c>
      <c r="O9" s="13">
        <v>155546530.5</v>
      </c>
      <c r="P9" s="19">
        <f>(N9-O9)*100/N9</f>
        <v>9.353633048019633</v>
      </c>
    </row>
    <row r="10" spans="1:16">
      <c r="A10" s="18" t="s">
        <v>58</v>
      </c>
      <c r="B10" s="19">
        <v>298657.5</v>
      </c>
      <c r="C10" s="19">
        <v>299845</v>
      </c>
      <c r="D10" s="19">
        <v>322009.7</v>
      </c>
      <c r="E10" s="19">
        <v>356131.5</v>
      </c>
      <c r="F10" s="19">
        <v>403996.3</v>
      </c>
      <c r="G10" s="19">
        <v>415645.7</v>
      </c>
      <c r="H10" s="19">
        <v>441085.5</v>
      </c>
      <c r="I10" s="19">
        <v>414485</v>
      </c>
      <c r="J10" s="20">
        <v>481564.5</v>
      </c>
      <c r="K10" s="13">
        <v>413033.2</v>
      </c>
      <c r="L10" s="19">
        <v>426233.5</v>
      </c>
      <c r="M10" s="19">
        <v>483768.2</v>
      </c>
      <c r="N10" s="19">
        <f t="shared" si="0"/>
        <v>4756455.6000000006</v>
      </c>
      <c r="O10" s="13">
        <v>6496218.2999999998</v>
      </c>
      <c r="P10" s="19">
        <f t="shared" ref="P10:P16" si="1">(N10-O10)*100/N10</f>
        <v>-36.576872493038707</v>
      </c>
    </row>
    <row r="11" spans="1:16">
      <c r="A11" s="18" t="s">
        <v>59</v>
      </c>
      <c r="B11" s="13">
        <v>129652</v>
      </c>
      <c r="C11" s="13">
        <v>12232</v>
      </c>
      <c r="D11" s="14">
        <v>0</v>
      </c>
      <c r="E11" s="13">
        <v>156964</v>
      </c>
      <c r="F11" s="13">
        <v>241488</v>
      </c>
      <c r="G11" s="19">
        <v>246566</v>
      </c>
      <c r="H11" s="13">
        <v>393899.34</v>
      </c>
      <c r="I11" s="14">
        <v>0</v>
      </c>
      <c r="J11" s="14">
        <v>0</v>
      </c>
      <c r="K11" s="14">
        <v>0</v>
      </c>
      <c r="L11" s="19">
        <v>728404</v>
      </c>
      <c r="M11" s="14">
        <v>0</v>
      </c>
      <c r="N11" s="19">
        <f t="shared" si="0"/>
        <v>1909205.34</v>
      </c>
      <c r="O11" s="13">
        <v>2287706.1</v>
      </c>
      <c r="P11" s="19">
        <f t="shared" si="1"/>
        <v>-19.82504197269844</v>
      </c>
    </row>
    <row r="12" spans="1:16">
      <c r="A12" s="18" t="s">
        <v>60</v>
      </c>
      <c r="B12" s="13">
        <v>137645.5</v>
      </c>
      <c r="C12" s="13">
        <v>201378.7</v>
      </c>
      <c r="D12" s="13">
        <v>313859.3</v>
      </c>
      <c r="E12" s="13">
        <v>252460.5</v>
      </c>
      <c r="F12" s="14">
        <f>243.19*1000</f>
        <v>243190</v>
      </c>
      <c r="G12" s="19">
        <v>242267.9</v>
      </c>
      <c r="H12" s="13">
        <v>284434.59999999998</v>
      </c>
      <c r="I12" s="13">
        <v>254907.1</v>
      </c>
      <c r="J12" s="13">
        <v>157402</v>
      </c>
      <c r="K12" s="13">
        <v>166644</v>
      </c>
      <c r="L12" s="13">
        <v>162203.4</v>
      </c>
      <c r="M12" s="19">
        <v>137951.1</v>
      </c>
      <c r="N12" s="19">
        <f>SUM(B12:M12)</f>
        <v>2554344.1</v>
      </c>
      <c r="O12" s="13">
        <v>2386628.5</v>
      </c>
      <c r="P12" s="19">
        <f t="shared" si="1"/>
        <v>6.5658968969764135</v>
      </c>
    </row>
    <row r="13" spans="1:16">
      <c r="A13" s="18" t="s">
        <v>38</v>
      </c>
      <c r="B13" s="13">
        <v>3083</v>
      </c>
      <c r="C13" s="13">
        <v>4986</v>
      </c>
      <c r="D13" s="13">
        <v>7310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3">
        <f t="shared" si="0"/>
        <v>15379</v>
      </c>
      <c r="O13" s="13">
        <v>65907</v>
      </c>
      <c r="P13" s="19">
        <f t="shared" si="1"/>
        <v>-328.55192145132975</v>
      </c>
    </row>
    <row r="14" spans="1:16" s="11" customFormat="1">
      <c r="A14" s="18" t="s">
        <v>104</v>
      </c>
      <c r="B14" s="14">
        <v>0</v>
      </c>
      <c r="C14" s="14">
        <v>0</v>
      </c>
      <c r="D14" s="14">
        <v>0</v>
      </c>
      <c r="E14" s="16">
        <v>0</v>
      </c>
      <c r="F14" s="16">
        <v>0</v>
      </c>
      <c r="G14" s="16">
        <v>0</v>
      </c>
      <c r="H14" s="13">
        <v>4000</v>
      </c>
      <c r="I14" s="16">
        <v>0</v>
      </c>
      <c r="J14" s="16">
        <v>0</v>
      </c>
      <c r="K14" s="16">
        <v>0</v>
      </c>
      <c r="L14" s="16"/>
      <c r="M14" s="16"/>
      <c r="N14" s="13">
        <f t="shared" si="0"/>
        <v>4000</v>
      </c>
      <c r="O14" s="13">
        <v>0</v>
      </c>
      <c r="P14" s="19">
        <f t="shared" si="1"/>
        <v>100</v>
      </c>
    </row>
    <row r="15" spans="1:16">
      <c r="A15" s="18" t="s">
        <v>61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/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f t="shared" si="0"/>
        <v>0</v>
      </c>
      <c r="O15" s="14">
        <v>0</v>
      </c>
      <c r="P15" s="14">
        <v>0</v>
      </c>
    </row>
    <row r="16" spans="1:16">
      <c r="A16" s="18" t="s">
        <v>50</v>
      </c>
      <c r="B16" s="18">
        <f t="shared" ref="B16:O16" si="2">SUM(B9:B15)</f>
        <v>12023096.199999999</v>
      </c>
      <c r="C16" s="18">
        <f t="shared" si="2"/>
        <v>12502827.199999999</v>
      </c>
      <c r="D16" s="18">
        <f t="shared" si="2"/>
        <v>18202660.879999999</v>
      </c>
      <c r="E16" s="18">
        <f t="shared" si="2"/>
        <v>18472386.34</v>
      </c>
      <c r="F16" s="18">
        <f t="shared" si="2"/>
        <v>22114051.100000001</v>
      </c>
      <c r="G16" s="18">
        <f t="shared" si="2"/>
        <v>14711617.479999999</v>
      </c>
      <c r="H16" s="18">
        <f t="shared" si="2"/>
        <v>14454893.569999998</v>
      </c>
      <c r="I16" s="18">
        <f t="shared" si="2"/>
        <v>11620518.049999999</v>
      </c>
      <c r="J16" s="18">
        <f t="shared" si="2"/>
        <v>12748687.5</v>
      </c>
      <c r="K16" s="18">
        <f t="shared" si="2"/>
        <v>12844506.789999999</v>
      </c>
      <c r="L16" s="18">
        <f t="shared" si="2"/>
        <v>15414661.58</v>
      </c>
      <c r="M16" s="18">
        <f t="shared" si="2"/>
        <v>15726570.24</v>
      </c>
      <c r="N16" s="18">
        <f t="shared" si="2"/>
        <v>180836476.92999998</v>
      </c>
      <c r="O16" s="5">
        <f t="shared" si="2"/>
        <v>166782990.40000001</v>
      </c>
      <c r="P16" s="18">
        <f t="shared" si="1"/>
        <v>7.7713781912705242</v>
      </c>
    </row>
    <row r="17" spans="1:16">
      <c r="O17" s="11"/>
      <c r="P17" s="11"/>
    </row>
    <row r="18" spans="1:16">
      <c r="O18" s="11"/>
      <c r="P18" s="11"/>
    </row>
    <row r="19" spans="1:16">
      <c r="O19" s="11"/>
      <c r="P19" s="11"/>
    </row>
    <row r="20" spans="1:16">
      <c r="O20" s="11"/>
      <c r="P20" s="11"/>
    </row>
    <row r="21" spans="1:16" ht="21">
      <c r="A21" s="101" t="s">
        <v>93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</row>
    <row r="22" spans="1:16">
      <c r="O22" s="11"/>
      <c r="P22" s="11"/>
    </row>
    <row r="23" spans="1:16">
      <c r="A23" s="15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>
      <c r="A24" s="12" t="s">
        <v>3</v>
      </c>
      <c r="B24" s="12" t="s">
        <v>4</v>
      </c>
      <c r="C24" s="12" t="s">
        <v>5</v>
      </c>
      <c r="D24" s="12" t="s">
        <v>6</v>
      </c>
      <c r="E24" s="12" t="s">
        <v>7</v>
      </c>
      <c r="F24" s="12" t="s">
        <v>8</v>
      </c>
      <c r="G24" s="12" t="s">
        <v>9</v>
      </c>
      <c r="H24" s="12" t="s">
        <v>10</v>
      </c>
      <c r="I24" s="12" t="s">
        <v>11</v>
      </c>
      <c r="J24" s="12" t="s">
        <v>12</v>
      </c>
      <c r="K24" s="12" t="s">
        <v>13</v>
      </c>
      <c r="L24" s="12" t="s">
        <v>14</v>
      </c>
      <c r="M24" s="12" t="s">
        <v>15</v>
      </c>
      <c r="N24" s="12" t="s">
        <v>16</v>
      </c>
      <c r="O24" s="12" t="s">
        <v>63</v>
      </c>
      <c r="P24" s="12" t="s">
        <v>17</v>
      </c>
    </row>
    <row r="25" spans="1:16">
      <c r="A25" s="12" t="s">
        <v>57</v>
      </c>
      <c r="B25" s="13">
        <v>82280</v>
      </c>
      <c r="C25" s="13">
        <v>80315</v>
      </c>
      <c r="D25" s="13">
        <v>92460</v>
      </c>
      <c r="E25" s="13">
        <v>64383</v>
      </c>
      <c r="F25" s="13">
        <v>389468</v>
      </c>
      <c r="G25" s="13">
        <v>107086</v>
      </c>
      <c r="H25" s="13">
        <v>110147</v>
      </c>
      <c r="I25" s="13">
        <v>59146</v>
      </c>
      <c r="J25" s="13">
        <v>56312</v>
      </c>
      <c r="K25" s="13">
        <v>62268</v>
      </c>
      <c r="L25" s="13">
        <v>78558</v>
      </c>
      <c r="M25" s="13">
        <v>76863</v>
      </c>
      <c r="N25" s="22">
        <f t="shared" ref="N25:N30" si="3">SUM(B25:M25)</f>
        <v>1259286</v>
      </c>
      <c r="O25" s="13">
        <v>23891269</v>
      </c>
      <c r="P25" s="26">
        <f>(N25-O25)*100/N25</f>
        <v>-1797.2075445927296</v>
      </c>
    </row>
    <row r="26" spans="1:16">
      <c r="A26" s="12" t="s">
        <v>58</v>
      </c>
      <c r="B26" s="19">
        <v>160907.70000000001</v>
      </c>
      <c r="C26" s="19">
        <v>184306.2</v>
      </c>
      <c r="D26" s="19">
        <v>197642</v>
      </c>
      <c r="E26" s="19">
        <v>210187.5</v>
      </c>
      <c r="F26" s="19">
        <v>277542.5</v>
      </c>
      <c r="G26" s="19">
        <v>303555</v>
      </c>
      <c r="H26" s="19">
        <v>467141</v>
      </c>
      <c r="I26" s="19">
        <f>130126.4+341226.5</f>
        <v>471352.9</v>
      </c>
      <c r="J26" s="19">
        <f>377146.4+2796</f>
        <v>379942.40000000002</v>
      </c>
      <c r="K26" s="19">
        <v>38152.5</v>
      </c>
      <c r="L26" s="19">
        <v>40049.5</v>
      </c>
      <c r="M26" s="19">
        <v>3141.7</v>
      </c>
      <c r="N26" s="25">
        <f t="shared" si="3"/>
        <v>2733920.9</v>
      </c>
      <c r="O26" s="13">
        <v>1006260</v>
      </c>
      <c r="P26" s="26">
        <f t="shared" ref="P26:P31" si="4">(N26-O26)*100/N26</f>
        <v>63.193521802331588</v>
      </c>
    </row>
    <row r="27" spans="1:16">
      <c r="A27" s="12" t="s">
        <v>59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21">
        <v>0</v>
      </c>
      <c r="M27" s="21">
        <v>0</v>
      </c>
      <c r="N27" s="21">
        <f t="shared" si="3"/>
        <v>0</v>
      </c>
      <c r="O27" s="14">
        <v>0</v>
      </c>
      <c r="P27" s="24">
        <v>0</v>
      </c>
    </row>
    <row r="28" spans="1:16">
      <c r="A28" s="12" t="s">
        <v>60</v>
      </c>
      <c r="B28" s="14">
        <v>0</v>
      </c>
      <c r="C28" s="14">
        <v>0</v>
      </c>
      <c r="D28" s="14">
        <v>0</v>
      </c>
      <c r="E28" s="14">
        <v>0</v>
      </c>
      <c r="F28" s="14">
        <f>0.09*1000</f>
        <v>90</v>
      </c>
      <c r="G28" s="13">
        <v>502</v>
      </c>
      <c r="H28" s="14">
        <v>348</v>
      </c>
      <c r="I28" s="14">
        <v>37</v>
      </c>
      <c r="J28" s="14">
        <v>0</v>
      </c>
      <c r="K28" s="14">
        <v>0</v>
      </c>
      <c r="L28" s="17">
        <v>2210</v>
      </c>
      <c r="M28" s="17">
        <v>0</v>
      </c>
      <c r="N28" s="24">
        <f t="shared" si="3"/>
        <v>3187</v>
      </c>
      <c r="O28" s="13">
        <v>475</v>
      </c>
      <c r="P28" s="26">
        <f t="shared" si="4"/>
        <v>85.095701286476313</v>
      </c>
    </row>
    <row r="29" spans="1:16">
      <c r="A29" s="12" t="s">
        <v>38</v>
      </c>
      <c r="B29" s="14">
        <v>0</v>
      </c>
      <c r="C29" s="14">
        <v>0</v>
      </c>
      <c r="D29" s="14">
        <v>0</v>
      </c>
      <c r="E29" s="14">
        <v>0</v>
      </c>
      <c r="F29" s="14">
        <v>1754</v>
      </c>
      <c r="G29" s="14">
        <v>0</v>
      </c>
      <c r="H29" s="14">
        <v>0</v>
      </c>
      <c r="I29" s="16">
        <v>0</v>
      </c>
      <c r="J29" s="16">
        <v>0</v>
      </c>
      <c r="K29" s="16">
        <v>0</v>
      </c>
      <c r="L29" s="21">
        <v>0</v>
      </c>
      <c r="M29" s="14">
        <v>0</v>
      </c>
      <c r="N29" s="22">
        <f t="shared" si="3"/>
        <v>1754</v>
      </c>
      <c r="O29" s="13">
        <v>4004</v>
      </c>
      <c r="P29" s="26">
        <f t="shared" si="4"/>
        <v>-128.27822120866591</v>
      </c>
    </row>
    <row r="30" spans="1:16">
      <c r="A30" s="15" t="s">
        <v>61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21">
        <v>0</v>
      </c>
      <c r="M30" s="21">
        <v>0</v>
      </c>
      <c r="N30" s="21">
        <f t="shared" si="3"/>
        <v>0</v>
      </c>
      <c r="O30" s="14">
        <v>0</v>
      </c>
      <c r="P30" s="24">
        <v>0</v>
      </c>
    </row>
    <row r="31" spans="1:16">
      <c r="A31" s="12" t="s">
        <v>50</v>
      </c>
      <c r="B31" s="18">
        <f t="shared" ref="B31:K31" si="5">SUM(B25:B30)</f>
        <v>243187.7</v>
      </c>
      <c r="C31" s="18">
        <f t="shared" si="5"/>
        <v>264621.2</v>
      </c>
      <c r="D31" s="18">
        <f t="shared" si="5"/>
        <v>290102</v>
      </c>
      <c r="E31" s="18">
        <f t="shared" si="5"/>
        <v>274570.5</v>
      </c>
      <c r="F31" s="18">
        <f t="shared" si="5"/>
        <v>668854.5</v>
      </c>
      <c r="G31" s="18">
        <f t="shared" si="5"/>
        <v>411143</v>
      </c>
      <c r="H31" s="18">
        <f t="shared" si="5"/>
        <v>577636</v>
      </c>
      <c r="I31" s="18">
        <f t="shared" si="5"/>
        <v>530535.9</v>
      </c>
      <c r="J31" s="18">
        <f t="shared" si="5"/>
        <v>436254.4</v>
      </c>
      <c r="K31" s="18">
        <f t="shared" si="5"/>
        <v>100420.5</v>
      </c>
      <c r="L31" s="23">
        <f>SUM(L25:L30)</f>
        <v>120817.5</v>
      </c>
      <c r="M31" s="23">
        <f>SUM(M25:M30)</f>
        <v>80004.7</v>
      </c>
      <c r="N31" s="23">
        <f>SUM(N25:N30)</f>
        <v>3998147.9</v>
      </c>
      <c r="O31" s="5">
        <f>SUM(O25:O30)</f>
        <v>24902008</v>
      </c>
      <c r="P31" s="64">
        <f t="shared" si="4"/>
        <v>-522.83858983805987</v>
      </c>
    </row>
  </sheetData>
  <mergeCells count="5">
    <mergeCell ref="A1:N1"/>
    <mergeCell ref="A2:N2"/>
    <mergeCell ref="A3:N3"/>
    <mergeCell ref="A4:N4"/>
    <mergeCell ref="A21:P21"/>
  </mergeCells>
  <pageMargins left="0.7" right="0.7" top="0.75" bottom="0.75" header="0.3" footer="0.3"/>
  <pageSetup scale="46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P41"/>
  <sheetViews>
    <sheetView tabSelected="1" topLeftCell="A5" workbookViewId="0">
      <pane xSplit="1" topLeftCell="B1" activePane="topRight" state="frozen"/>
      <selection pane="topRight" activeCell="I41" sqref="I41"/>
    </sheetView>
  </sheetViews>
  <sheetFormatPr defaultRowHeight="15"/>
  <cols>
    <col min="1" max="1" width="12.140625" customWidth="1"/>
    <col min="2" max="3" width="8.7109375" customWidth="1"/>
    <col min="4" max="4" width="10.7109375" bestFit="1" customWidth="1"/>
    <col min="5" max="5" width="9.85546875" bestFit="1" customWidth="1"/>
    <col min="6" max="6" width="9.7109375" bestFit="1" customWidth="1"/>
    <col min="7" max="7" width="10.140625" bestFit="1" customWidth="1"/>
    <col min="8" max="9" width="8.7109375" customWidth="1"/>
    <col min="10" max="10" width="10.7109375" bestFit="1" customWidth="1"/>
    <col min="11" max="12" width="9" customWidth="1"/>
    <col min="13" max="13" width="10.7109375" bestFit="1" customWidth="1"/>
    <col min="14" max="15" width="9" customWidth="1"/>
    <col min="16" max="16" width="10.7109375" bestFit="1" customWidth="1"/>
    <col min="17" max="18" width="9" customWidth="1"/>
    <col min="19" max="19" width="11.42578125" bestFit="1" customWidth="1"/>
    <col min="20" max="21" width="9" customWidth="1"/>
    <col min="22" max="22" width="9" style="11" customWidth="1"/>
    <col min="23" max="24" width="9" customWidth="1"/>
    <col min="25" max="25" width="9" style="11" customWidth="1"/>
    <col min="26" max="27" width="10.5703125" customWidth="1"/>
    <col min="28" max="28" width="11.5703125" style="11" customWidth="1"/>
    <col min="29" max="29" width="11.5703125" customWidth="1"/>
    <col min="30" max="30" width="14.5703125" customWidth="1"/>
    <col min="31" max="31" width="14.42578125" style="11" bestFit="1" customWidth="1"/>
    <col min="32" max="32" width="10.7109375" customWidth="1"/>
    <col min="33" max="33" width="9" customWidth="1"/>
    <col min="34" max="34" width="14.85546875" style="11" bestFit="1" customWidth="1"/>
    <col min="35" max="36" width="9" customWidth="1"/>
    <col min="37" max="37" width="10.5703125" style="11" bestFit="1" customWidth="1"/>
    <col min="38" max="39" width="10.5703125" bestFit="1" customWidth="1"/>
    <col min="40" max="41" width="11.5703125" bestFit="1" customWidth="1"/>
  </cols>
  <sheetData>
    <row r="1" spans="1:42" ht="15.7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80"/>
      <c r="Q1" s="80"/>
      <c r="R1" s="80"/>
      <c r="S1" s="80"/>
      <c r="T1" s="80"/>
      <c r="U1" s="80"/>
      <c r="V1" s="80"/>
      <c r="W1" s="80"/>
      <c r="X1" s="11"/>
      <c r="Z1" s="11"/>
      <c r="AA1" s="11"/>
      <c r="AC1" s="11"/>
      <c r="AD1" s="11"/>
      <c r="AF1" s="11"/>
      <c r="AG1" s="11"/>
      <c r="AI1" s="11"/>
      <c r="AJ1" s="11"/>
      <c r="AL1" s="11"/>
      <c r="AM1" s="11"/>
      <c r="AN1" s="11"/>
      <c r="AO1" s="11"/>
      <c r="AP1" s="11"/>
    </row>
    <row r="2" spans="1:42" ht="15.75">
      <c r="A2" s="109" t="s">
        <v>64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80"/>
      <c r="Q2" s="80"/>
      <c r="R2" s="80"/>
      <c r="S2" s="80"/>
      <c r="T2" s="80"/>
      <c r="U2" s="80"/>
      <c r="V2" s="80"/>
      <c r="W2" s="80"/>
      <c r="X2" s="11"/>
      <c r="Z2" s="11"/>
      <c r="AA2" s="11"/>
      <c r="AC2" s="11"/>
      <c r="AD2" s="11"/>
      <c r="AF2" s="11"/>
      <c r="AG2" s="11"/>
      <c r="AI2" s="11"/>
      <c r="AJ2" s="11"/>
      <c r="AL2" s="11"/>
      <c r="AM2" s="11"/>
      <c r="AN2" s="11"/>
      <c r="AO2" s="11"/>
      <c r="AP2" s="11"/>
    </row>
    <row r="3" spans="1:42" ht="15.75">
      <c r="A3" s="109" t="s">
        <v>65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80"/>
      <c r="Q3" s="80"/>
      <c r="R3" s="80"/>
      <c r="S3" s="80"/>
      <c r="T3" s="80"/>
      <c r="U3" s="80"/>
      <c r="V3" s="80"/>
      <c r="W3" s="80"/>
      <c r="X3" s="11"/>
      <c r="Z3" s="11"/>
      <c r="AA3" s="11"/>
      <c r="AC3" s="11"/>
      <c r="AD3" s="11"/>
      <c r="AF3" s="11"/>
      <c r="AG3" s="11"/>
      <c r="AI3" s="11"/>
      <c r="AJ3" s="11"/>
      <c r="AL3" s="11"/>
      <c r="AM3" s="11"/>
      <c r="AN3" s="11"/>
      <c r="AO3" s="11"/>
      <c r="AP3" s="11"/>
    </row>
    <row r="4" spans="1:42" ht="15.75">
      <c r="A4" s="109" t="s">
        <v>92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80"/>
      <c r="Q4" s="80"/>
      <c r="R4" s="80"/>
      <c r="S4" s="80"/>
      <c r="T4" s="80"/>
      <c r="U4" s="80"/>
      <c r="V4" s="80"/>
      <c r="W4" s="80"/>
      <c r="X4" s="11"/>
      <c r="Z4" s="11"/>
      <c r="AA4" s="11"/>
      <c r="AC4" s="11"/>
      <c r="AD4" s="11"/>
      <c r="AF4" s="11"/>
      <c r="AG4" s="11"/>
      <c r="AI4" s="11"/>
      <c r="AJ4" s="11"/>
      <c r="AL4" s="11"/>
      <c r="AM4" s="11"/>
      <c r="AN4" s="11"/>
      <c r="AO4" s="11"/>
      <c r="AP4" s="11"/>
    </row>
    <row r="5" spans="1:4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W5" s="11"/>
      <c r="X5" s="11"/>
      <c r="Z5" s="11"/>
      <c r="AA5" s="11"/>
      <c r="AC5" s="11"/>
      <c r="AD5" s="11"/>
      <c r="AF5" s="11"/>
      <c r="AG5" s="11"/>
      <c r="AI5" s="11"/>
      <c r="AJ5" s="11"/>
      <c r="AL5" s="11"/>
      <c r="AM5" s="11"/>
      <c r="AN5" s="11"/>
      <c r="AO5" s="11"/>
      <c r="AP5" s="11"/>
    </row>
    <row r="6" spans="1:42">
      <c r="A6" s="33"/>
      <c r="B6" s="105" t="s">
        <v>66</v>
      </c>
      <c r="C6" s="105"/>
      <c r="D6" s="105" t="s">
        <v>67</v>
      </c>
      <c r="E6" s="105"/>
      <c r="F6" s="105" t="s">
        <v>6</v>
      </c>
      <c r="G6" s="105"/>
      <c r="H6" s="105" t="s">
        <v>7</v>
      </c>
      <c r="I6" s="105"/>
      <c r="J6" s="105" t="s">
        <v>8</v>
      </c>
      <c r="K6" s="105"/>
      <c r="L6" s="105" t="s">
        <v>9</v>
      </c>
      <c r="M6" s="105"/>
      <c r="N6" s="105" t="s">
        <v>10</v>
      </c>
      <c r="O6" s="105"/>
      <c r="P6" s="105" t="s">
        <v>11</v>
      </c>
      <c r="Q6" s="105"/>
      <c r="R6" s="105" t="s">
        <v>12</v>
      </c>
      <c r="S6" s="105"/>
      <c r="T6" s="106" t="s">
        <v>13</v>
      </c>
      <c r="U6" s="106"/>
      <c r="V6" s="106" t="s">
        <v>14</v>
      </c>
      <c r="W6" s="106"/>
      <c r="X6" s="107" t="s">
        <v>15</v>
      </c>
      <c r="Y6" s="108"/>
      <c r="Z6" s="102" t="s">
        <v>100</v>
      </c>
      <c r="AA6" s="103"/>
      <c r="AB6" s="104"/>
      <c r="AC6" s="78"/>
      <c r="AD6" s="78"/>
      <c r="AE6" s="75"/>
      <c r="AF6" s="76"/>
      <c r="AG6" s="76"/>
      <c r="AH6" s="75"/>
      <c r="AI6" s="76"/>
      <c r="AJ6" s="76"/>
      <c r="AK6" s="75"/>
      <c r="AL6" s="76"/>
      <c r="AM6" s="76"/>
      <c r="AN6" s="76"/>
      <c r="AO6" s="77"/>
      <c r="AP6" s="77"/>
    </row>
    <row r="7" spans="1:42">
      <c r="A7" s="34" t="s">
        <v>68</v>
      </c>
      <c r="B7" s="35" t="s">
        <v>69</v>
      </c>
      <c r="C7" s="35" t="s">
        <v>70</v>
      </c>
      <c r="D7" s="35" t="s">
        <v>69</v>
      </c>
      <c r="E7" s="35" t="s">
        <v>70</v>
      </c>
      <c r="F7" s="35" t="s">
        <v>69</v>
      </c>
      <c r="G7" s="35" t="s">
        <v>70</v>
      </c>
      <c r="H7" s="66" t="s">
        <v>69</v>
      </c>
      <c r="I7" s="35" t="s">
        <v>70</v>
      </c>
      <c r="J7" s="35" t="s">
        <v>69</v>
      </c>
      <c r="K7" s="70" t="s">
        <v>70</v>
      </c>
      <c r="L7" s="35" t="s">
        <v>69</v>
      </c>
      <c r="M7" s="35" t="s">
        <v>70</v>
      </c>
      <c r="N7" s="44" t="s">
        <v>69</v>
      </c>
      <c r="O7" s="44" t="s">
        <v>70</v>
      </c>
      <c r="P7" s="44" t="s">
        <v>69</v>
      </c>
      <c r="Q7" s="44" t="s">
        <v>70</v>
      </c>
      <c r="R7" s="44" t="s">
        <v>69</v>
      </c>
      <c r="S7" s="44" t="s">
        <v>70</v>
      </c>
      <c r="T7" s="44" t="s">
        <v>69</v>
      </c>
      <c r="U7" s="44" t="s">
        <v>70</v>
      </c>
      <c r="V7" s="44" t="s">
        <v>69</v>
      </c>
      <c r="W7" s="44" t="s">
        <v>70</v>
      </c>
      <c r="X7" s="44" t="s">
        <v>69</v>
      </c>
      <c r="Y7" s="36" t="s">
        <v>70</v>
      </c>
      <c r="Z7" s="44" t="s">
        <v>69</v>
      </c>
      <c r="AA7" s="44" t="s">
        <v>70</v>
      </c>
      <c r="AB7" s="79" t="s">
        <v>16</v>
      </c>
      <c r="AC7" s="12" t="s">
        <v>87</v>
      </c>
      <c r="AD7" s="12" t="s">
        <v>17</v>
      </c>
      <c r="AE7"/>
      <c r="AH7"/>
      <c r="AK7"/>
    </row>
    <row r="8" spans="1:42">
      <c r="A8" s="34" t="s">
        <v>18</v>
      </c>
      <c r="B8" s="28">
        <f>136819+388</f>
        <v>137207</v>
      </c>
      <c r="C8" s="28">
        <f>137377+347</f>
        <v>137724</v>
      </c>
      <c r="D8" s="28">
        <f>128503+1028</f>
        <v>129531</v>
      </c>
      <c r="E8" s="28">
        <f>129323+1044</f>
        <v>130367</v>
      </c>
      <c r="F8" s="37">
        <f>130759+341</f>
        <v>131100</v>
      </c>
      <c r="G8" s="38">
        <f>137697+332</f>
        <v>138029</v>
      </c>
      <c r="H8" s="67">
        <f>165627+267</f>
        <v>165894</v>
      </c>
      <c r="I8" s="13">
        <f>156312+225</f>
        <v>156537</v>
      </c>
      <c r="J8" s="13">
        <f>156200+148</f>
        <v>156348</v>
      </c>
      <c r="K8" s="71">
        <f>160176+199</f>
        <v>160375</v>
      </c>
      <c r="L8" s="13">
        <v>158715</v>
      </c>
      <c r="M8" s="13">
        <v>156706</v>
      </c>
      <c r="N8" s="22">
        <f>172548+150</f>
        <v>172698</v>
      </c>
      <c r="O8" s="22">
        <f>179119+160</f>
        <v>179279</v>
      </c>
      <c r="P8" s="22">
        <f>180936+238</f>
        <v>181174</v>
      </c>
      <c r="Q8" s="13">
        <f>181057+199</f>
        <v>181256</v>
      </c>
      <c r="R8" s="13">
        <f>166740+220</f>
        <v>166960</v>
      </c>
      <c r="S8" s="13">
        <f>158350+65</f>
        <v>158415</v>
      </c>
      <c r="T8" s="13">
        <f>169597+239</f>
        <v>169836</v>
      </c>
      <c r="U8" s="13">
        <f>171989+161</f>
        <v>172150</v>
      </c>
      <c r="V8" s="13">
        <f>162055+291</f>
        <v>162346</v>
      </c>
      <c r="W8" s="13">
        <f>172532+211</f>
        <v>172743</v>
      </c>
      <c r="X8" s="13">
        <f>189574+264</f>
        <v>189838</v>
      </c>
      <c r="Y8" s="13">
        <f>199077+153</f>
        <v>199230</v>
      </c>
      <c r="Z8" s="22">
        <f t="shared" ref="Z8:Z37" si="0">B8+D8+F8+H8+J8+L8+N8+P8+R8+T8+V8+X8</f>
        <v>1921647</v>
      </c>
      <c r="AA8" s="22">
        <f t="shared" ref="AA8:AA37" si="1">C8+E8+G8+I8+K8+M8+O8+Q8+S8+U8+W8+Y8</f>
        <v>1942811</v>
      </c>
      <c r="AB8" s="22">
        <f>SUM(Z8:AA8)</f>
        <v>3864458</v>
      </c>
      <c r="AC8" s="13">
        <v>3320103</v>
      </c>
      <c r="AD8" s="45">
        <f>(AB8-AC8)*100/AB8</f>
        <v>14.086192682130328</v>
      </c>
      <c r="AE8"/>
      <c r="AH8"/>
      <c r="AK8"/>
    </row>
    <row r="9" spans="1:42">
      <c r="A9" s="34" t="s">
        <v>19</v>
      </c>
      <c r="B9" s="28">
        <f>90137+146</f>
        <v>90283</v>
      </c>
      <c r="C9" s="28">
        <f>101572+14</f>
        <v>101586</v>
      </c>
      <c r="D9" s="28">
        <f>73626+1186</f>
        <v>74812</v>
      </c>
      <c r="E9" s="28">
        <f>80376+1091</f>
        <v>81467</v>
      </c>
      <c r="F9" s="27">
        <f>89055+1140</f>
        <v>90195</v>
      </c>
      <c r="G9" s="27">
        <f>93327+1037</f>
        <v>94364</v>
      </c>
      <c r="H9" s="67">
        <f>90424+1184</f>
        <v>91608</v>
      </c>
      <c r="I9" s="13">
        <f>88403+654</f>
        <v>89057</v>
      </c>
      <c r="J9" s="13">
        <f>85970+1027</f>
        <v>86997</v>
      </c>
      <c r="K9" s="71">
        <f>93062+501</f>
        <v>93563</v>
      </c>
      <c r="L9" s="13">
        <f>91277+1403</f>
        <v>92680</v>
      </c>
      <c r="M9" s="13">
        <f>88508+756</f>
        <v>89264</v>
      </c>
      <c r="N9" s="22">
        <f>114266+166</f>
        <v>114432</v>
      </c>
      <c r="O9" s="22">
        <f>108352+42</f>
        <v>108394</v>
      </c>
      <c r="P9" s="22">
        <f>114892+494</f>
        <v>115386</v>
      </c>
      <c r="Q9" s="13">
        <f>124495+454</f>
        <v>124949</v>
      </c>
      <c r="R9" s="13">
        <f>113963+192</f>
        <v>114155</v>
      </c>
      <c r="S9" s="13">
        <f>110288+48</f>
        <v>110336</v>
      </c>
      <c r="T9" s="13">
        <f>94304+241</f>
        <v>94545</v>
      </c>
      <c r="U9" s="13">
        <f>90646+519</f>
        <v>91165</v>
      </c>
      <c r="V9" s="13">
        <f>112797+740</f>
        <v>113537</v>
      </c>
      <c r="W9" s="13">
        <f>105119+822</f>
        <v>105941</v>
      </c>
      <c r="X9" s="13">
        <f>128919+825</f>
        <v>129744</v>
      </c>
      <c r="Y9" s="13">
        <f>110069+558</f>
        <v>110627</v>
      </c>
      <c r="Z9" s="22">
        <f t="shared" si="0"/>
        <v>1208374</v>
      </c>
      <c r="AA9" s="22">
        <f t="shared" si="1"/>
        <v>1200713</v>
      </c>
      <c r="AB9" s="22">
        <f>SUM(Z9:AA9)</f>
        <v>2409087</v>
      </c>
      <c r="AC9" s="13">
        <v>2324469</v>
      </c>
      <c r="AD9" s="45">
        <f t="shared" ref="AD9:AD40" si="2">(AB9-AC9)*100/AB9</f>
        <v>3.512450982467632</v>
      </c>
      <c r="AE9"/>
      <c r="AH9"/>
      <c r="AK9"/>
    </row>
    <row r="10" spans="1:42">
      <c r="A10" s="34" t="s">
        <v>71</v>
      </c>
      <c r="B10" s="28">
        <f>120967+2545</f>
        <v>123512</v>
      </c>
      <c r="C10" s="28">
        <f>112561+2280</f>
        <v>114841</v>
      </c>
      <c r="D10" s="28">
        <f>110519+2342</f>
        <v>112861</v>
      </c>
      <c r="E10" s="28">
        <f>111595+2181</f>
        <v>113776</v>
      </c>
      <c r="F10" s="28">
        <f>123456+1279</f>
        <v>124735</v>
      </c>
      <c r="G10" s="28">
        <f>118082+1173</f>
        <v>119255</v>
      </c>
      <c r="H10" s="67">
        <f>128093+884</f>
        <v>128977</v>
      </c>
      <c r="I10" s="13">
        <f>133622+2564</f>
        <v>136186</v>
      </c>
      <c r="J10" s="13">
        <f>126030+18331</f>
        <v>144361</v>
      </c>
      <c r="K10" s="71">
        <f>126799+3368</f>
        <v>130167</v>
      </c>
      <c r="L10" s="13">
        <f>137817+2630</f>
        <v>140447</v>
      </c>
      <c r="M10" s="13">
        <f>131266</f>
        <v>131266</v>
      </c>
      <c r="N10" s="22">
        <f>141427+3415</f>
        <v>144842</v>
      </c>
      <c r="O10" s="22">
        <f>141454+3306</f>
        <v>144760</v>
      </c>
      <c r="P10" s="22">
        <f>149046+2532</f>
        <v>151578</v>
      </c>
      <c r="Q10" s="13">
        <f>143886+2922</f>
        <v>146808</v>
      </c>
      <c r="R10" s="13">
        <v>169639</v>
      </c>
      <c r="S10" s="13">
        <v>155850</v>
      </c>
      <c r="T10" s="13">
        <v>149935</v>
      </c>
      <c r="U10" s="13">
        <v>149695</v>
      </c>
      <c r="V10" s="13">
        <v>152388</v>
      </c>
      <c r="W10" s="13">
        <v>150835</v>
      </c>
      <c r="X10" s="13">
        <f>152312+4055</f>
        <v>156367</v>
      </c>
      <c r="Y10" s="13">
        <f>163428+4598</f>
        <v>168026</v>
      </c>
      <c r="Z10" s="22">
        <f t="shared" si="0"/>
        <v>1699642</v>
      </c>
      <c r="AA10" s="22">
        <f t="shared" si="1"/>
        <v>1661465</v>
      </c>
      <c r="AB10" s="22">
        <f>SUM(Z10:AA10)</f>
        <v>3361107</v>
      </c>
      <c r="AC10" s="13">
        <v>2800464</v>
      </c>
      <c r="AD10" s="45">
        <f t="shared" si="2"/>
        <v>16.680308005665989</v>
      </c>
      <c r="AE10"/>
      <c r="AH10"/>
      <c r="AK10"/>
    </row>
    <row r="11" spans="1:42">
      <c r="A11" s="34" t="s">
        <v>72</v>
      </c>
      <c r="B11" s="28">
        <f>18752+3779</f>
        <v>22531</v>
      </c>
      <c r="C11" s="28">
        <f>17340+2976</f>
        <v>20316</v>
      </c>
      <c r="D11" s="28">
        <f>13265+2551</f>
        <v>15816</v>
      </c>
      <c r="E11" s="28">
        <f>13710+1685</f>
        <v>15395</v>
      </c>
      <c r="F11" s="28">
        <f>17383+385</f>
        <v>17768</v>
      </c>
      <c r="G11" s="28">
        <f>16405+322</f>
        <v>16727</v>
      </c>
      <c r="H11" s="67">
        <f>15914+378</f>
        <v>16292</v>
      </c>
      <c r="I11" s="13">
        <f>16188+359</f>
        <v>16547</v>
      </c>
      <c r="J11" s="13">
        <f>18331+2401</f>
        <v>20732</v>
      </c>
      <c r="K11" s="71">
        <f>18346+1964</f>
        <v>20310</v>
      </c>
      <c r="L11" s="13">
        <f>18535+1377</f>
        <v>19912</v>
      </c>
      <c r="M11" s="13">
        <f>19140+1744</f>
        <v>20884</v>
      </c>
      <c r="N11" s="22">
        <f>23657+1101</f>
        <v>24758</v>
      </c>
      <c r="O11" s="22">
        <f>23466+1066</f>
        <v>24532</v>
      </c>
      <c r="P11" s="22">
        <f>23458+2018</f>
        <v>25476</v>
      </c>
      <c r="Q11" s="13">
        <f>23778+2721</f>
        <v>26499</v>
      </c>
      <c r="R11" s="13">
        <v>42639</v>
      </c>
      <c r="S11" s="13">
        <v>28977</v>
      </c>
      <c r="T11" s="13">
        <v>25103</v>
      </c>
      <c r="U11" s="13">
        <v>30320</v>
      </c>
      <c r="V11" s="13">
        <v>26344</v>
      </c>
      <c r="W11" s="13">
        <v>28704</v>
      </c>
      <c r="X11" s="13">
        <f>24983+3749</f>
        <v>28732</v>
      </c>
      <c r="Y11" s="13">
        <f>22646+3480</f>
        <v>26126</v>
      </c>
      <c r="Z11" s="22">
        <f t="shared" si="0"/>
        <v>286103</v>
      </c>
      <c r="AA11" s="22">
        <f t="shared" si="1"/>
        <v>275337</v>
      </c>
      <c r="AB11" s="22">
        <f>SUM(Z11:AA11)</f>
        <v>561440</v>
      </c>
      <c r="AC11" s="13">
        <v>395974</v>
      </c>
      <c r="AD11" s="45">
        <f t="shared" si="2"/>
        <v>29.471715588486749</v>
      </c>
      <c r="AE11"/>
      <c r="AH11"/>
      <c r="AK11"/>
    </row>
    <row r="12" spans="1:42">
      <c r="A12" s="34" t="s">
        <v>73</v>
      </c>
      <c r="B12" s="28">
        <f>39355+1122</f>
        <v>40477</v>
      </c>
      <c r="C12" s="28">
        <f>44428+981</f>
        <v>45409</v>
      </c>
      <c r="D12" s="28">
        <f>39725+1147</f>
        <v>40872</v>
      </c>
      <c r="E12" s="28">
        <f>40687+1200</f>
        <v>41887</v>
      </c>
      <c r="F12" s="28">
        <f>45023+1319</f>
        <v>46342</v>
      </c>
      <c r="G12" s="28">
        <f>45930+1278</f>
        <v>47208</v>
      </c>
      <c r="H12" s="67">
        <f>48410+1377</f>
        <v>49787</v>
      </c>
      <c r="I12" s="13">
        <f>49569+1561</f>
        <v>51130</v>
      </c>
      <c r="J12" s="13">
        <f>45477+1357</f>
        <v>46834</v>
      </c>
      <c r="K12" s="71">
        <f>47259+1313</f>
        <v>48572</v>
      </c>
      <c r="L12" s="13">
        <f>45236+1341</f>
        <v>46577</v>
      </c>
      <c r="M12" s="13">
        <f>46416</f>
        <v>46416</v>
      </c>
      <c r="N12" s="22">
        <f>49350+1018</f>
        <v>50368</v>
      </c>
      <c r="O12" s="22">
        <f>51592+1152</f>
        <v>52744</v>
      </c>
      <c r="P12" s="22">
        <f>52943+1255</f>
        <v>54198</v>
      </c>
      <c r="Q12" s="13">
        <f>56043+1355</f>
        <v>57398</v>
      </c>
      <c r="R12" s="13">
        <f>50539+1319</f>
        <v>51858</v>
      </c>
      <c r="S12" s="13">
        <f>50486+1567</f>
        <v>52053</v>
      </c>
      <c r="T12" s="13">
        <f>49648+1663</f>
        <v>51311</v>
      </c>
      <c r="U12" s="13">
        <f>49173+1664</f>
        <v>50837</v>
      </c>
      <c r="V12" s="13">
        <f>51897+1361</f>
        <v>53258</v>
      </c>
      <c r="W12" s="13">
        <f>51835+1309</f>
        <v>53144</v>
      </c>
      <c r="X12" s="13">
        <f>61747+1820</f>
        <v>63567</v>
      </c>
      <c r="Y12" s="13">
        <f>54813+1608</f>
        <v>56421</v>
      </c>
      <c r="Z12" s="22">
        <f t="shared" si="0"/>
        <v>595449</v>
      </c>
      <c r="AA12" s="22">
        <f t="shared" si="1"/>
        <v>603219</v>
      </c>
      <c r="AB12" s="22">
        <f t="shared" ref="AB12:AB27" si="3">SUM(Z12:AA12)</f>
        <v>1198668</v>
      </c>
      <c r="AC12" s="13">
        <v>1034506</v>
      </c>
      <c r="AD12" s="45">
        <f t="shared" si="2"/>
        <v>13.695368525730228</v>
      </c>
      <c r="AE12"/>
      <c r="AH12"/>
      <c r="AK12"/>
    </row>
    <row r="13" spans="1:42">
      <c r="A13" s="34" t="s">
        <v>74</v>
      </c>
      <c r="B13" s="27">
        <f>1900+3</f>
        <v>1903</v>
      </c>
      <c r="C13" s="27">
        <v>820</v>
      </c>
      <c r="D13" s="27">
        <f>604+10</f>
        <v>614</v>
      </c>
      <c r="E13" s="27">
        <f>31+15</f>
        <v>46</v>
      </c>
      <c r="F13" s="27">
        <f>135</f>
        <v>135</v>
      </c>
      <c r="G13" s="27">
        <f>14+6</f>
        <v>20</v>
      </c>
      <c r="H13" s="67">
        <f>153+5</f>
        <v>158</v>
      </c>
      <c r="I13" s="13">
        <v>28</v>
      </c>
      <c r="J13" s="13">
        <f>149+1</f>
        <v>150</v>
      </c>
      <c r="K13" s="71">
        <f>26+6</f>
        <v>32</v>
      </c>
      <c r="L13" s="13">
        <f>56+2</f>
        <v>58</v>
      </c>
      <c r="M13" s="13">
        <f>41+5</f>
        <v>46</v>
      </c>
      <c r="N13" s="22">
        <f>83+10</f>
        <v>93</v>
      </c>
      <c r="O13" s="22">
        <f>204+6</f>
        <v>210</v>
      </c>
      <c r="P13" s="22">
        <f>107</f>
        <v>107</v>
      </c>
      <c r="Q13" s="13">
        <v>67</v>
      </c>
      <c r="R13" s="13">
        <f>106+57</f>
        <v>163</v>
      </c>
      <c r="S13" s="13">
        <f>93+3</f>
        <v>96</v>
      </c>
      <c r="T13" s="13">
        <f>135</f>
        <v>135</v>
      </c>
      <c r="U13" s="13">
        <v>169</v>
      </c>
      <c r="V13" s="13">
        <f>157+152</f>
        <v>309</v>
      </c>
      <c r="W13" s="13">
        <f>152+1299</f>
        <v>1451</v>
      </c>
      <c r="X13" s="13">
        <f>341+3201</f>
        <v>3542</v>
      </c>
      <c r="Y13" s="13">
        <f>16+2780</f>
        <v>2796</v>
      </c>
      <c r="Z13" s="22">
        <f t="shared" si="0"/>
        <v>7367</v>
      </c>
      <c r="AA13" s="22">
        <f t="shared" si="1"/>
        <v>5781</v>
      </c>
      <c r="AB13" s="22">
        <f t="shared" si="3"/>
        <v>13148</v>
      </c>
      <c r="AC13" s="13">
        <v>47081</v>
      </c>
      <c r="AD13" s="45">
        <f t="shared" si="2"/>
        <v>-258.08487982963186</v>
      </c>
      <c r="AE13"/>
      <c r="AH13"/>
      <c r="AK13"/>
    </row>
    <row r="14" spans="1:42">
      <c r="A14" s="34" t="s">
        <v>24</v>
      </c>
      <c r="B14" s="28">
        <f>8468+188</f>
        <v>8656</v>
      </c>
      <c r="C14" s="28">
        <f>8206+142</f>
        <v>8348</v>
      </c>
      <c r="D14" s="28">
        <f>7784+75</f>
        <v>7859</v>
      </c>
      <c r="E14" s="28">
        <f>7640+69</f>
        <v>7709</v>
      </c>
      <c r="F14" s="28">
        <f>7800+175</f>
        <v>7975</v>
      </c>
      <c r="G14" s="28">
        <f>7652+249</f>
        <v>7901</v>
      </c>
      <c r="H14" s="67">
        <f>8619+194</f>
        <v>8813</v>
      </c>
      <c r="I14" s="13">
        <f>9288+239</f>
        <v>9527</v>
      </c>
      <c r="J14" s="13">
        <f>8536+171</f>
        <v>8707</v>
      </c>
      <c r="K14" s="71">
        <f>8180+116</f>
        <v>8296</v>
      </c>
      <c r="L14" s="13">
        <f>8448+184</f>
        <v>8632</v>
      </c>
      <c r="M14" s="13">
        <f>8509+154</f>
        <v>8663</v>
      </c>
      <c r="N14" s="22">
        <f>11010+183</f>
        <v>11193</v>
      </c>
      <c r="O14" s="22">
        <f>9946+151</f>
        <v>10097</v>
      </c>
      <c r="P14" s="22">
        <f>10971+109</f>
        <v>11080</v>
      </c>
      <c r="Q14" s="13">
        <f>10906+105</f>
        <v>11011</v>
      </c>
      <c r="R14" s="13">
        <f>11083+128</f>
        <v>11211</v>
      </c>
      <c r="S14" s="13">
        <f>11151+87</f>
        <v>11238</v>
      </c>
      <c r="T14" s="13">
        <f>11542+256</f>
        <v>11798</v>
      </c>
      <c r="U14" s="13">
        <f>11017+334</f>
        <v>11351</v>
      </c>
      <c r="V14" s="13">
        <f>11479+198</f>
        <v>11677</v>
      </c>
      <c r="W14" s="13">
        <f>10632+408</f>
        <v>11040</v>
      </c>
      <c r="X14" s="13">
        <f>11130+481</f>
        <v>11611</v>
      </c>
      <c r="Y14" s="13">
        <f>10461+142</f>
        <v>10603</v>
      </c>
      <c r="Z14" s="22">
        <f t="shared" si="0"/>
        <v>119212</v>
      </c>
      <c r="AA14" s="22">
        <f t="shared" si="1"/>
        <v>115784</v>
      </c>
      <c r="AB14" s="22">
        <f t="shared" si="3"/>
        <v>234996</v>
      </c>
      <c r="AC14" s="13">
        <v>188722</v>
      </c>
      <c r="AD14" s="45">
        <f t="shared" si="2"/>
        <v>19.691399002536212</v>
      </c>
      <c r="AE14"/>
      <c r="AH14"/>
      <c r="AK14"/>
    </row>
    <row r="15" spans="1:42">
      <c r="A15" s="34" t="s">
        <v>25</v>
      </c>
      <c r="B15" s="28">
        <f>3303+2</f>
        <v>3305</v>
      </c>
      <c r="C15" s="28">
        <f>2654+10</f>
        <v>2664</v>
      </c>
      <c r="D15" s="28">
        <f>3520+4</f>
        <v>3524</v>
      </c>
      <c r="E15" s="28">
        <f>3522</f>
        <v>3522</v>
      </c>
      <c r="F15" s="28">
        <f>3105+14</f>
        <v>3119</v>
      </c>
      <c r="G15" s="28">
        <f>4133+45</f>
        <v>4178</v>
      </c>
      <c r="H15" s="67">
        <f>4317+3</f>
        <v>4320</v>
      </c>
      <c r="I15" s="13">
        <f>4124+5</f>
        <v>4129</v>
      </c>
      <c r="J15" s="13">
        <f>4914+11</f>
        <v>4925</v>
      </c>
      <c r="K15" s="71">
        <f>4390+16</f>
        <v>4406</v>
      </c>
      <c r="L15" s="13">
        <f>4660+10</f>
        <v>4670</v>
      </c>
      <c r="M15" s="13">
        <f>4615+29</f>
        <v>4644</v>
      </c>
      <c r="N15" s="22">
        <f>4868+37</f>
        <v>4905</v>
      </c>
      <c r="O15" s="22">
        <f>4330+6</f>
        <v>4336</v>
      </c>
      <c r="P15" s="22">
        <f>3597+37</f>
        <v>3634</v>
      </c>
      <c r="Q15" s="13">
        <f>14385+93</f>
        <v>14478</v>
      </c>
      <c r="R15" s="13">
        <f>18965+25</f>
        <v>18990</v>
      </c>
      <c r="S15" s="13">
        <f>7223</f>
        <v>7223</v>
      </c>
      <c r="T15" s="13">
        <f>2527+33</f>
        <v>2560</v>
      </c>
      <c r="U15" s="13">
        <f>9203+42</f>
        <v>9245</v>
      </c>
      <c r="V15" s="13">
        <f>6368+50</f>
        <v>6418</v>
      </c>
      <c r="W15" s="13">
        <f>11612+56</f>
        <v>11668</v>
      </c>
      <c r="X15" s="13">
        <f>13110+15</f>
        <v>13125</v>
      </c>
      <c r="Y15" s="13">
        <f>2857+0</f>
        <v>2857</v>
      </c>
      <c r="Z15" s="22">
        <f t="shared" si="0"/>
        <v>73495</v>
      </c>
      <c r="AA15" s="22">
        <f t="shared" si="1"/>
        <v>73350</v>
      </c>
      <c r="AB15" s="22">
        <f t="shared" si="3"/>
        <v>146845</v>
      </c>
      <c r="AC15" s="13">
        <v>134760</v>
      </c>
      <c r="AD15" s="45">
        <f t="shared" si="2"/>
        <v>8.2297660798801449</v>
      </c>
      <c r="AE15"/>
      <c r="AH15"/>
      <c r="AK15"/>
    </row>
    <row r="16" spans="1:42">
      <c r="A16" s="34" t="s">
        <v>26</v>
      </c>
      <c r="B16" s="29">
        <f>0</f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68">
        <f>0</f>
        <v>0</v>
      </c>
      <c r="I16" s="16">
        <v>0</v>
      </c>
      <c r="J16" s="16">
        <v>0</v>
      </c>
      <c r="K16" s="72">
        <v>0</v>
      </c>
      <c r="L16" s="16">
        <v>0</v>
      </c>
      <c r="M16" s="16">
        <v>0</v>
      </c>
      <c r="N16" s="21">
        <v>0</v>
      </c>
      <c r="O16" s="21">
        <v>0</v>
      </c>
      <c r="P16" s="21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4">
        <v>0</v>
      </c>
      <c r="W16" s="14">
        <v>0</v>
      </c>
      <c r="X16" s="14"/>
      <c r="Y16" s="14"/>
      <c r="Z16" s="24">
        <f t="shared" si="0"/>
        <v>0</v>
      </c>
      <c r="AA16" s="24">
        <f t="shared" si="1"/>
        <v>0</v>
      </c>
      <c r="AB16" s="21">
        <f t="shared" si="3"/>
        <v>0</v>
      </c>
      <c r="AC16" s="13">
        <v>366592</v>
      </c>
      <c r="AD16" s="45">
        <v>0</v>
      </c>
      <c r="AE16"/>
      <c r="AH16"/>
      <c r="AK16"/>
    </row>
    <row r="17" spans="1:37">
      <c r="A17" s="34" t="s">
        <v>27</v>
      </c>
      <c r="B17" s="28">
        <f>14071+27</f>
        <v>14098</v>
      </c>
      <c r="C17" s="28">
        <f>14543+16</f>
        <v>14559</v>
      </c>
      <c r="D17" s="28">
        <f>14323+36</f>
        <v>14359</v>
      </c>
      <c r="E17" s="28">
        <f>14755+28</f>
        <v>14783</v>
      </c>
      <c r="F17" s="28">
        <f>15335+119</f>
        <v>15454</v>
      </c>
      <c r="G17" s="28">
        <f>15895+121</f>
        <v>16016</v>
      </c>
      <c r="H17" s="67">
        <f>19653+166</f>
        <v>19819</v>
      </c>
      <c r="I17" s="13">
        <f>15713+149</f>
        <v>15862</v>
      </c>
      <c r="J17" s="13">
        <f>13719+145</f>
        <v>13864</v>
      </c>
      <c r="K17" s="71">
        <f>14682+201</f>
        <v>14883</v>
      </c>
      <c r="L17" s="13">
        <f>19082+146</f>
        <v>19228</v>
      </c>
      <c r="M17" s="13">
        <f>16931+126</f>
        <v>17057</v>
      </c>
      <c r="N17" s="22">
        <f>15182+72</f>
        <v>15254</v>
      </c>
      <c r="O17" s="22">
        <f>15329+69</f>
        <v>15398</v>
      </c>
      <c r="P17" s="22">
        <f>13161+181</f>
        <v>13342</v>
      </c>
      <c r="Q17" s="13">
        <f>13362+194</f>
        <v>13556</v>
      </c>
      <c r="R17" s="13">
        <f>12520+127</f>
        <v>12647</v>
      </c>
      <c r="S17" s="13">
        <f>13046+142</f>
        <v>13188</v>
      </c>
      <c r="T17" s="13">
        <f>13919+191</f>
        <v>14110</v>
      </c>
      <c r="U17" s="13">
        <f>14466+169</f>
        <v>14635</v>
      </c>
      <c r="V17" s="13"/>
      <c r="W17" s="13"/>
      <c r="X17" s="13">
        <f>20026+516</f>
        <v>20542</v>
      </c>
      <c r="Y17" s="13">
        <f>20226+453</f>
        <v>20679</v>
      </c>
      <c r="Z17" s="22">
        <f t="shared" si="0"/>
        <v>172717</v>
      </c>
      <c r="AA17" s="22">
        <f t="shared" si="1"/>
        <v>170616</v>
      </c>
      <c r="AB17" s="22">
        <f t="shared" si="3"/>
        <v>343333</v>
      </c>
      <c r="AC17" s="13">
        <v>417041</v>
      </c>
      <c r="AD17" s="45">
        <f t="shared" si="2"/>
        <v>-21.468370357641124</v>
      </c>
      <c r="AE17"/>
      <c r="AF17" s="85"/>
      <c r="AH17"/>
      <c r="AK17"/>
    </row>
    <row r="18" spans="1:37">
      <c r="A18" s="34" t="s">
        <v>75</v>
      </c>
      <c r="B18" s="28">
        <f>6627+79</f>
        <v>6706</v>
      </c>
      <c r="C18" s="28">
        <f>6481+98</f>
        <v>6579</v>
      </c>
      <c r="D18" s="28">
        <f>6343+181</f>
        <v>6524</v>
      </c>
      <c r="E18" s="28">
        <f>6294+84</f>
        <v>6378</v>
      </c>
      <c r="F18" s="28">
        <f>6328+580</f>
        <v>6908</v>
      </c>
      <c r="G18" s="28">
        <f>6188+578</f>
        <v>6766</v>
      </c>
      <c r="H18" s="67">
        <f>8908+198</f>
        <v>9106</v>
      </c>
      <c r="I18" s="13">
        <f>8021+189</f>
        <v>8210</v>
      </c>
      <c r="J18" s="13">
        <v>8461</v>
      </c>
      <c r="K18" s="71">
        <v>7904</v>
      </c>
      <c r="L18" s="13">
        <v>7272</v>
      </c>
      <c r="M18" s="13">
        <v>7290</v>
      </c>
      <c r="N18" s="74">
        <f>9062+196</f>
        <v>9258</v>
      </c>
      <c r="O18" s="74">
        <f>7759+191</f>
        <v>7950</v>
      </c>
      <c r="P18" s="22">
        <f>9375+205</f>
        <v>9580</v>
      </c>
      <c r="Q18" s="13">
        <f>11003+199</f>
        <v>11202</v>
      </c>
      <c r="R18" s="13">
        <f>7765+176</f>
        <v>7941</v>
      </c>
      <c r="S18" s="13">
        <f>7848+182</f>
        <v>8030</v>
      </c>
      <c r="T18" s="13">
        <f>7609+923</f>
        <v>8532</v>
      </c>
      <c r="U18" s="13">
        <f>6408+243</f>
        <v>6651</v>
      </c>
      <c r="V18" s="13">
        <f>6495+215</f>
        <v>6710</v>
      </c>
      <c r="W18" s="13">
        <f>6361+92</f>
        <v>6453</v>
      </c>
      <c r="X18" s="13">
        <f>7075+383</f>
        <v>7458</v>
      </c>
      <c r="Y18" s="13">
        <f>7153+275</f>
        <v>7428</v>
      </c>
      <c r="Z18" s="22">
        <f t="shared" si="0"/>
        <v>94456</v>
      </c>
      <c r="AA18" s="22">
        <f t="shared" si="1"/>
        <v>90841</v>
      </c>
      <c r="AB18" s="22">
        <f t="shared" si="3"/>
        <v>185297</v>
      </c>
      <c r="AC18" s="13">
        <v>146028</v>
      </c>
      <c r="AD18" s="45">
        <f t="shared" si="2"/>
        <v>21.192463990242693</v>
      </c>
      <c r="AE18"/>
      <c r="AF18" s="84"/>
      <c r="AH18"/>
      <c r="AK18"/>
    </row>
    <row r="19" spans="1:37">
      <c r="A19" s="34" t="s">
        <v>76</v>
      </c>
      <c r="B19" s="39">
        <v>0</v>
      </c>
      <c r="C19" s="39">
        <v>0</v>
      </c>
      <c r="D19" s="31">
        <v>0</v>
      </c>
      <c r="E19" s="31">
        <v>0</v>
      </c>
      <c r="F19" s="30">
        <v>0</v>
      </c>
      <c r="G19" s="30">
        <v>0</v>
      </c>
      <c r="H19" s="68">
        <v>0</v>
      </c>
      <c r="I19" s="16">
        <v>0</v>
      </c>
      <c r="J19" s="16">
        <v>0</v>
      </c>
      <c r="K19" s="72">
        <v>0</v>
      </c>
      <c r="L19" s="16">
        <v>0</v>
      </c>
      <c r="M19" s="16">
        <v>0</v>
      </c>
      <c r="N19" s="62"/>
      <c r="O19" s="63"/>
      <c r="P19" s="24">
        <f>0</f>
        <v>0</v>
      </c>
      <c r="Q19" s="14">
        <v>0</v>
      </c>
      <c r="R19" s="14">
        <v>0</v>
      </c>
      <c r="S19" s="13">
        <v>1581</v>
      </c>
      <c r="T19" s="14">
        <v>0</v>
      </c>
      <c r="U19" s="13">
        <v>4364</v>
      </c>
      <c r="V19" s="13">
        <v>0</v>
      </c>
      <c r="W19" s="13">
        <v>5246</v>
      </c>
      <c r="X19" s="14">
        <v>9564</v>
      </c>
      <c r="Y19" s="14">
        <v>0</v>
      </c>
      <c r="Z19" s="24">
        <f t="shared" si="0"/>
        <v>9564</v>
      </c>
      <c r="AA19" s="22">
        <f t="shared" si="1"/>
        <v>11191</v>
      </c>
      <c r="AB19" s="22">
        <f t="shared" si="3"/>
        <v>20755</v>
      </c>
      <c r="AC19" s="13">
        <v>21488</v>
      </c>
      <c r="AD19" s="45">
        <f t="shared" si="2"/>
        <v>-3.5316791134666348</v>
      </c>
      <c r="AE19"/>
      <c r="AF19" s="84"/>
      <c r="AH19"/>
      <c r="AK19"/>
    </row>
    <row r="20" spans="1:37">
      <c r="A20" s="34" t="s">
        <v>77</v>
      </c>
      <c r="B20" s="28">
        <f>10053+456</f>
        <v>10509</v>
      </c>
      <c r="C20" s="28">
        <f>12560+496</f>
        <v>13056</v>
      </c>
      <c r="D20" s="28">
        <v>15348</v>
      </c>
      <c r="E20" s="28">
        <v>9840</v>
      </c>
      <c r="F20" s="28">
        <v>11061</v>
      </c>
      <c r="G20" s="28">
        <v>10889</v>
      </c>
      <c r="H20" s="67">
        <f>12442</f>
        <v>12442</v>
      </c>
      <c r="I20" s="13">
        <v>12379</v>
      </c>
      <c r="J20" s="13">
        <v>11751</v>
      </c>
      <c r="K20" s="71">
        <v>11460</v>
      </c>
      <c r="L20" s="13">
        <v>19402</v>
      </c>
      <c r="M20" s="13">
        <v>1471</v>
      </c>
      <c r="N20" s="22">
        <v>8692</v>
      </c>
      <c r="O20" s="22">
        <v>10383</v>
      </c>
      <c r="P20" s="22">
        <v>12045</v>
      </c>
      <c r="Q20" s="13">
        <v>12151</v>
      </c>
      <c r="R20" s="13">
        <v>10732</v>
      </c>
      <c r="S20" s="13">
        <v>10439</v>
      </c>
      <c r="T20" s="13">
        <v>11006</v>
      </c>
      <c r="U20" s="13">
        <v>10910</v>
      </c>
      <c r="V20" s="13">
        <v>11924</v>
      </c>
      <c r="W20" s="13">
        <v>11549</v>
      </c>
      <c r="X20" s="13">
        <f>18691+878</f>
        <v>19569</v>
      </c>
      <c r="Y20" s="13">
        <f>11790+758</f>
        <v>12548</v>
      </c>
      <c r="Z20" s="24">
        <f t="shared" si="0"/>
        <v>154481</v>
      </c>
      <c r="AA20" s="22">
        <f t="shared" si="1"/>
        <v>127075</v>
      </c>
      <c r="AB20" s="24">
        <f t="shared" si="3"/>
        <v>281556</v>
      </c>
      <c r="AC20" s="13">
        <v>316061</v>
      </c>
      <c r="AD20" s="45">
        <f t="shared" si="2"/>
        <v>-12.255110883802868</v>
      </c>
      <c r="AE20"/>
      <c r="AF20" s="84"/>
      <c r="AH20"/>
      <c r="AK20"/>
    </row>
    <row r="21" spans="1:37">
      <c r="A21" s="34" t="s">
        <v>78</v>
      </c>
      <c r="B21" s="31">
        <f>30</f>
        <v>30</v>
      </c>
      <c r="C21" s="28">
        <v>30</v>
      </c>
      <c r="D21" s="31">
        <v>40</v>
      </c>
      <c r="E21" s="28">
        <v>44</v>
      </c>
      <c r="F21" s="31">
        <v>26</v>
      </c>
      <c r="G21" s="31">
        <v>30</v>
      </c>
      <c r="H21" s="67">
        <v>30</v>
      </c>
      <c r="I21" s="13">
        <v>32</v>
      </c>
      <c r="J21" s="16">
        <v>0</v>
      </c>
      <c r="K21" s="72">
        <v>0</v>
      </c>
      <c r="L21" s="16">
        <v>24</v>
      </c>
      <c r="M21" s="16">
        <v>30</v>
      </c>
      <c r="N21" s="22">
        <v>1</v>
      </c>
      <c r="O21" s="22">
        <v>1</v>
      </c>
      <c r="P21" s="2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3">
        <v>31</v>
      </c>
      <c r="Y21" s="13">
        <v>30</v>
      </c>
      <c r="Z21" s="24">
        <f t="shared" si="0"/>
        <v>182</v>
      </c>
      <c r="AA21" s="22">
        <f t="shared" si="1"/>
        <v>197</v>
      </c>
      <c r="AB21" s="24">
        <f t="shared" si="3"/>
        <v>379</v>
      </c>
      <c r="AC21" s="13">
        <v>675</v>
      </c>
      <c r="AD21" s="45">
        <f t="shared" si="2"/>
        <v>-78.100263852242747</v>
      </c>
      <c r="AE21"/>
      <c r="AH21"/>
      <c r="AK21"/>
    </row>
    <row r="22" spans="1:37">
      <c r="A22" s="34" t="s">
        <v>79</v>
      </c>
      <c r="B22" s="28">
        <f>1941+92</f>
        <v>2033</v>
      </c>
      <c r="C22" s="28">
        <f>2079+87</f>
        <v>2166</v>
      </c>
      <c r="D22" s="28">
        <f>1886+91</f>
        <v>1977</v>
      </c>
      <c r="E22" s="28">
        <f>1978+70</f>
        <v>2048</v>
      </c>
      <c r="F22" s="28">
        <f>2467+168</f>
        <v>2635</v>
      </c>
      <c r="G22" s="28">
        <f>2071+130</f>
        <v>2201</v>
      </c>
      <c r="H22" s="67">
        <f>2718</f>
        <v>2718</v>
      </c>
      <c r="I22" s="13">
        <v>2523</v>
      </c>
      <c r="J22" s="13">
        <f>2213+99</f>
        <v>2312</v>
      </c>
      <c r="K22" s="71">
        <f>2226+87</f>
        <v>2313</v>
      </c>
      <c r="L22" s="13">
        <f>2261+76</f>
        <v>2337</v>
      </c>
      <c r="M22" s="13">
        <f>2254+58</f>
        <v>2312</v>
      </c>
      <c r="N22" s="22">
        <f>2822+145</f>
        <v>2967</v>
      </c>
      <c r="O22" s="22">
        <f>2644+82</f>
        <v>2726</v>
      </c>
      <c r="P22" s="22">
        <f>2609+58</f>
        <v>2667</v>
      </c>
      <c r="Q22" s="13">
        <f>2813+140</f>
        <v>2953</v>
      </c>
      <c r="R22" s="13">
        <v>1546</v>
      </c>
      <c r="S22" s="13">
        <v>2773</v>
      </c>
      <c r="T22" s="13">
        <f>2838+294</f>
        <v>3132</v>
      </c>
      <c r="U22" s="13">
        <f>2867+210</f>
        <v>3077</v>
      </c>
      <c r="V22" s="11">
        <f>2492+94</f>
        <v>2586</v>
      </c>
      <c r="W22" s="11">
        <f>2671+78</f>
        <v>2749</v>
      </c>
      <c r="X22" s="13">
        <f>2809+91</f>
        <v>2900</v>
      </c>
      <c r="Y22" s="13">
        <f>2665+109</f>
        <v>2774</v>
      </c>
      <c r="Z22" s="24">
        <f t="shared" si="0"/>
        <v>29810</v>
      </c>
      <c r="AA22" s="22">
        <f t="shared" si="1"/>
        <v>30615</v>
      </c>
      <c r="AB22" s="24">
        <f t="shared" si="3"/>
        <v>60425</v>
      </c>
      <c r="AC22" s="13">
        <v>44984</v>
      </c>
      <c r="AD22" s="45">
        <f t="shared" si="2"/>
        <v>25.553992552751346</v>
      </c>
      <c r="AE22"/>
      <c r="AH22"/>
      <c r="AK22"/>
    </row>
    <row r="23" spans="1:37">
      <c r="A23" s="34" t="s">
        <v>80</v>
      </c>
      <c r="B23" s="39">
        <v>0</v>
      </c>
      <c r="C23" s="39">
        <v>0</v>
      </c>
      <c r="D23" s="31">
        <v>0</v>
      </c>
      <c r="E23" s="31">
        <v>0</v>
      </c>
      <c r="F23" s="31">
        <v>0</v>
      </c>
      <c r="G23" s="31">
        <v>0</v>
      </c>
      <c r="H23" s="68">
        <v>0</v>
      </c>
      <c r="I23" s="16">
        <v>0</v>
      </c>
      <c r="J23" s="16">
        <v>0</v>
      </c>
      <c r="K23" s="72">
        <v>0</v>
      </c>
      <c r="L23" s="16">
        <v>0</v>
      </c>
      <c r="M23" s="16">
        <v>0</v>
      </c>
      <c r="N23" s="24">
        <v>0</v>
      </c>
      <c r="O23" s="24">
        <v>0</v>
      </c>
      <c r="P23" s="22">
        <f>11</f>
        <v>11</v>
      </c>
      <c r="Q23" s="13">
        <v>1311</v>
      </c>
      <c r="R23" s="13">
        <v>2824</v>
      </c>
      <c r="S23" s="13">
        <v>0</v>
      </c>
      <c r="T23" s="13">
        <v>0</v>
      </c>
      <c r="U23" s="13">
        <v>17042</v>
      </c>
      <c r="V23" s="13">
        <v>6390</v>
      </c>
      <c r="W23" s="13">
        <v>936</v>
      </c>
      <c r="X23" s="13">
        <v>11717</v>
      </c>
      <c r="Y23" s="14">
        <v>0</v>
      </c>
      <c r="Z23" s="24">
        <f t="shared" si="0"/>
        <v>20942</v>
      </c>
      <c r="AA23" s="22">
        <f t="shared" si="1"/>
        <v>19289</v>
      </c>
      <c r="AB23" s="24">
        <f t="shared" si="3"/>
        <v>40231</v>
      </c>
      <c r="AC23" s="13">
        <v>41356</v>
      </c>
      <c r="AD23" s="45">
        <f t="shared" si="2"/>
        <v>-2.7963510725559892</v>
      </c>
      <c r="AE23"/>
      <c r="AH23"/>
      <c r="AK23"/>
    </row>
    <row r="24" spans="1:37">
      <c r="A24" s="34" t="s">
        <v>34</v>
      </c>
      <c r="B24" s="28">
        <f>12102+97</f>
        <v>12199</v>
      </c>
      <c r="C24" s="28">
        <f>12628+115</f>
        <v>12743</v>
      </c>
      <c r="D24" s="28">
        <f>13497+184</f>
        <v>13681</v>
      </c>
      <c r="E24" s="28">
        <f>11841+134</f>
        <v>11975</v>
      </c>
      <c r="F24" s="28">
        <f>12434+172</f>
        <v>12606</v>
      </c>
      <c r="G24" s="28">
        <f>11826+161</f>
        <v>11987</v>
      </c>
      <c r="H24" s="67">
        <f>14970+218</f>
        <v>15188</v>
      </c>
      <c r="I24" s="13">
        <f>13573+156</f>
        <v>13729</v>
      </c>
      <c r="J24" s="13">
        <f>13662+44</f>
        <v>13706</v>
      </c>
      <c r="K24" s="71">
        <f>13504+32</f>
        <v>13536</v>
      </c>
      <c r="L24" s="13">
        <f>13195</f>
        <v>13195</v>
      </c>
      <c r="M24" s="13">
        <f>12737+47</f>
        <v>12784</v>
      </c>
      <c r="N24" s="22">
        <v>14811</v>
      </c>
      <c r="O24" s="22">
        <v>13861</v>
      </c>
      <c r="P24" s="22">
        <v>14687</v>
      </c>
      <c r="Q24" s="13">
        <v>14736</v>
      </c>
      <c r="R24" s="13">
        <v>14687</v>
      </c>
      <c r="S24" s="13">
        <v>14736</v>
      </c>
      <c r="T24" s="13">
        <f>16757+141</f>
        <v>16898</v>
      </c>
      <c r="U24" s="13">
        <f>15943+87</f>
        <v>16030</v>
      </c>
      <c r="V24" s="13">
        <f>16960+220</f>
        <v>17180</v>
      </c>
      <c r="W24" s="13">
        <f>15666+118</f>
        <v>15784</v>
      </c>
      <c r="X24" s="13">
        <f>20155+736</f>
        <v>20891</v>
      </c>
      <c r="Y24" s="13">
        <f>16782+494</f>
        <v>17276</v>
      </c>
      <c r="Z24" s="22">
        <f t="shared" si="0"/>
        <v>179729</v>
      </c>
      <c r="AA24" s="22">
        <f t="shared" si="1"/>
        <v>169177</v>
      </c>
      <c r="AB24" s="22">
        <f t="shared" si="3"/>
        <v>348906</v>
      </c>
      <c r="AC24" s="13">
        <v>308741</v>
      </c>
      <c r="AD24" s="45">
        <f t="shared" si="2"/>
        <v>11.511696560105014</v>
      </c>
      <c r="AE24"/>
      <c r="AH24"/>
      <c r="AK24"/>
    </row>
    <row r="25" spans="1:37">
      <c r="A25" s="34" t="s">
        <v>81</v>
      </c>
      <c r="B25" s="28">
        <f>3767+71</f>
        <v>3838</v>
      </c>
      <c r="C25" s="28">
        <f>3947+115</f>
        <v>4062</v>
      </c>
      <c r="D25" s="28">
        <f>3575+85</f>
        <v>3660</v>
      </c>
      <c r="E25" s="28">
        <f>3514+43</f>
        <v>3557</v>
      </c>
      <c r="F25" s="28">
        <f>3745+49</f>
        <v>3794</v>
      </c>
      <c r="G25" s="28">
        <f>3548+56</f>
        <v>3604</v>
      </c>
      <c r="H25" s="67">
        <f>4113+69</f>
        <v>4182</v>
      </c>
      <c r="I25" s="13">
        <f>4563+68</f>
        <v>4631</v>
      </c>
      <c r="J25" s="13">
        <f>3968+40</f>
        <v>4008</v>
      </c>
      <c r="K25" s="71">
        <f>3991+45</f>
        <v>4036</v>
      </c>
      <c r="L25" s="13">
        <f>4122</f>
        <v>4122</v>
      </c>
      <c r="M25" s="13">
        <v>4186</v>
      </c>
      <c r="N25" s="22">
        <f>4378+86</f>
        <v>4464</v>
      </c>
      <c r="O25" s="22">
        <f>4272+746</f>
        <v>5018</v>
      </c>
      <c r="P25" s="22">
        <f>4645+275</f>
        <v>4920</v>
      </c>
      <c r="Q25" s="13">
        <f>4626+170</f>
        <v>4796</v>
      </c>
      <c r="R25" s="13">
        <f>3795+56</f>
        <v>3851</v>
      </c>
      <c r="S25" s="13">
        <f>3665+55</f>
        <v>3720</v>
      </c>
      <c r="T25" s="13">
        <f>4176+163</f>
        <v>4339</v>
      </c>
      <c r="U25" s="13">
        <f>4112+135</f>
        <v>4247</v>
      </c>
      <c r="V25" s="13">
        <v>4330</v>
      </c>
      <c r="W25" s="13">
        <v>4347</v>
      </c>
      <c r="X25" s="13">
        <v>5932</v>
      </c>
      <c r="Y25" s="13">
        <v>9556</v>
      </c>
      <c r="Z25" s="22">
        <f t="shared" si="0"/>
        <v>51440</v>
      </c>
      <c r="AA25" s="22">
        <f t="shared" si="1"/>
        <v>55760</v>
      </c>
      <c r="AB25" s="22">
        <f t="shared" si="3"/>
        <v>107200</v>
      </c>
      <c r="AC25" s="13">
        <v>81517</v>
      </c>
      <c r="AD25" s="45">
        <f t="shared" si="2"/>
        <v>23.958022388059703</v>
      </c>
      <c r="AE25"/>
      <c r="AH25"/>
      <c r="AK25"/>
    </row>
    <row r="26" spans="1:37">
      <c r="A26" s="34" t="s">
        <v>82</v>
      </c>
      <c r="B26" s="28">
        <f>15</f>
        <v>15</v>
      </c>
      <c r="C26" s="31">
        <v>0</v>
      </c>
      <c r="D26" s="31">
        <v>6</v>
      </c>
      <c r="E26" s="31">
        <v>0</v>
      </c>
      <c r="F26" s="28">
        <v>21</v>
      </c>
      <c r="G26" s="31">
        <v>24</v>
      </c>
      <c r="H26" s="68">
        <v>0</v>
      </c>
      <c r="I26" s="16">
        <v>15</v>
      </c>
      <c r="J26" s="16">
        <v>5</v>
      </c>
      <c r="K26" s="72">
        <v>3</v>
      </c>
      <c r="L26" s="16">
        <v>0</v>
      </c>
      <c r="M26" s="16">
        <v>0</v>
      </c>
      <c r="N26" s="21">
        <v>0</v>
      </c>
      <c r="O26" s="21">
        <v>0</v>
      </c>
      <c r="P26" s="22">
        <f>17</f>
        <v>17</v>
      </c>
      <c r="Q26" s="13">
        <f>2377+46</f>
        <v>2423</v>
      </c>
      <c r="R26" s="13">
        <f>2450+17</f>
        <v>2467</v>
      </c>
      <c r="S26" s="13">
        <f>3</f>
        <v>3</v>
      </c>
      <c r="T26" s="13">
        <v>29</v>
      </c>
      <c r="U26" s="13">
        <f>6135+21</f>
        <v>6156</v>
      </c>
      <c r="V26" s="13">
        <v>1912</v>
      </c>
      <c r="W26" s="13">
        <v>1713</v>
      </c>
      <c r="X26" s="14">
        <v>0</v>
      </c>
      <c r="Y26" s="14">
        <v>0</v>
      </c>
      <c r="Z26" s="22">
        <f t="shared" si="0"/>
        <v>4472</v>
      </c>
      <c r="AA26" s="22">
        <f t="shared" si="1"/>
        <v>10337</v>
      </c>
      <c r="AB26" s="22">
        <f t="shared" si="3"/>
        <v>14809</v>
      </c>
      <c r="AC26" s="13">
        <v>15777</v>
      </c>
      <c r="AD26" s="45">
        <f t="shared" si="2"/>
        <v>-6.5365656019987846</v>
      </c>
      <c r="AE26"/>
      <c r="AH26"/>
      <c r="AK26"/>
    </row>
    <row r="27" spans="1:37">
      <c r="A27" s="34" t="s">
        <v>37</v>
      </c>
      <c r="B27" s="28">
        <f>2405+1643</f>
        <v>4048</v>
      </c>
      <c r="C27" s="28">
        <f>2531+87</f>
        <v>2618</v>
      </c>
      <c r="D27" s="28">
        <f>2593+32</f>
        <v>2625</v>
      </c>
      <c r="E27" s="28">
        <f>2313+25</f>
        <v>2338</v>
      </c>
      <c r="F27" s="28">
        <f>2593+62</f>
        <v>2655</v>
      </c>
      <c r="G27" s="28">
        <f>2685+49</f>
        <v>2734</v>
      </c>
      <c r="H27" s="67">
        <f>3844+372</f>
        <v>4216</v>
      </c>
      <c r="I27" s="13">
        <f>3533+331</f>
        <v>3864</v>
      </c>
      <c r="J27" s="13">
        <f>4147+51</f>
        <v>4198</v>
      </c>
      <c r="K27" s="71">
        <f>3997+41</f>
        <v>4038</v>
      </c>
      <c r="L27" s="13">
        <f>3825+290</f>
        <v>4115</v>
      </c>
      <c r="M27" s="13">
        <f>3822+298</f>
        <v>4120</v>
      </c>
      <c r="N27" s="22">
        <f>3824+290</f>
        <v>4114</v>
      </c>
      <c r="O27" s="22">
        <f>3822+298</f>
        <v>4120</v>
      </c>
      <c r="P27" s="22">
        <f>4149+27</f>
        <v>4176</v>
      </c>
      <c r="Q27" s="13">
        <f>4056+27</f>
        <v>4083</v>
      </c>
      <c r="R27" s="13">
        <f>3611+73</f>
        <v>3684</v>
      </c>
      <c r="S27" s="13">
        <f>4055+72</f>
        <v>4127</v>
      </c>
      <c r="T27" s="13">
        <f>1041+47</f>
        <v>1088</v>
      </c>
      <c r="U27" s="13">
        <f>991+78</f>
        <v>1069</v>
      </c>
      <c r="V27" s="13">
        <f>2575+103</f>
        <v>2678</v>
      </c>
      <c r="W27" s="13">
        <f>2371+95</f>
        <v>2466</v>
      </c>
      <c r="X27" s="13">
        <f>955+239</f>
        <v>1194</v>
      </c>
      <c r="Y27" s="13">
        <f>955+202</f>
        <v>1157</v>
      </c>
      <c r="Z27" s="22">
        <f t="shared" si="0"/>
        <v>38791</v>
      </c>
      <c r="AA27" s="22">
        <f t="shared" si="1"/>
        <v>36734</v>
      </c>
      <c r="AB27" s="22">
        <f t="shared" si="3"/>
        <v>75525</v>
      </c>
      <c r="AC27" s="13">
        <v>50564</v>
      </c>
      <c r="AD27" s="45">
        <f t="shared" si="2"/>
        <v>33.049983449189007</v>
      </c>
      <c r="AE27"/>
      <c r="AH27"/>
      <c r="AK27"/>
    </row>
    <row r="28" spans="1:37">
      <c r="A28" s="34" t="s">
        <v>38</v>
      </c>
      <c r="B28" s="28">
        <f>11178+237</f>
        <v>11415</v>
      </c>
      <c r="C28" s="28">
        <f>16457+362</f>
        <v>16819</v>
      </c>
      <c r="D28" s="28">
        <f>15070+94</f>
        <v>15164</v>
      </c>
      <c r="E28" s="28">
        <f>14507+111</f>
        <v>14618</v>
      </c>
      <c r="F28" s="28">
        <f>18324+281</f>
        <v>18605</v>
      </c>
      <c r="G28" s="28">
        <f>16167+347</f>
        <v>16514</v>
      </c>
      <c r="H28" s="67">
        <f>20960+301</f>
        <v>21261</v>
      </c>
      <c r="I28" s="13">
        <f>20242+394</f>
        <v>20636</v>
      </c>
      <c r="J28" s="13">
        <f>18233+317</f>
        <v>18550</v>
      </c>
      <c r="K28" s="71">
        <f>18307+296</f>
        <v>18603</v>
      </c>
      <c r="L28" s="13">
        <v>19221</v>
      </c>
      <c r="M28" s="13">
        <v>18558</v>
      </c>
      <c r="N28" s="22">
        <f>19913+810</f>
        <v>20723</v>
      </c>
      <c r="O28" s="22">
        <f>19284+756</f>
        <v>20040</v>
      </c>
      <c r="P28" s="22">
        <v>23099</v>
      </c>
      <c r="Q28" s="13">
        <v>23238</v>
      </c>
      <c r="R28" s="13">
        <v>20907</v>
      </c>
      <c r="S28" s="13">
        <v>20871</v>
      </c>
      <c r="T28" s="13">
        <f>22055+436</f>
        <v>22491</v>
      </c>
      <c r="U28" s="13">
        <f>22403+419</f>
        <v>22822</v>
      </c>
      <c r="V28" s="13">
        <v>20024</v>
      </c>
      <c r="W28" s="13">
        <v>20382</v>
      </c>
      <c r="X28" s="13">
        <v>30493</v>
      </c>
      <c r="Y28" s="13">
        <v>21009</v>
      </c>
      <c r="Z28" s="22">
        <f t="shared" si="0"/>
        <v>241953</v>
      </c>
      <c r="AA28" s="22">
        <f t="shared" si="1"/>
        <v>234110</v>
      </c>
      <c r="AB28" s="22">
        <f t="shared" ref="AB28:AB36" si="4">SUM(Z28:AA28)</f>
        <v>476063</v>
      </c>
      <c r="AC28" s="13">
        <v>276926</v>
      </c>
      <c r="AD28" s="45">
        <f t="shared" si="2"/>
        <v>41.829967882402116</v>
      </c>
      <c r="AE28"/>
      <c r="AH28"/>
      <c r="AK28"/>
    </row>
    <row r="29" spans="1:37">
      <c r="A29" s="34" t="s">
        <v>39</v>
      </c>
      <c r="B29" s="60">
        <v>4836</v>
      </c>
      <c r="C29" s="60">
        <v>4369</v>
      </c>
      <c r="D29" s="28">
        <f>3520+20</f>
        <v>3540</v>
      </c>
      <c r="E29" s="28">
        <f>3645+21</f>
        <v>3666</v>
      </c>
      <c r="F29" s="28">
        <f>4075+563</f>
        <v>4638</v>
      </c>
      <c r="G29" s="28">
        <f>4019+546</f>
        <v>4565</v>
      </c>
      <c r="H29" s="69">
        <f>4915+156</f>
        <v>5071</v>
      </c>
      <c r="I29" s="61">
        <f>5005+153</f>
        <v>5158</v>
      </c>
      <c r="J29" s="13">
        <f>4231+58</f>
        <v>4289</v>
      </c>
      <c r="K29" s="71">
        <f>4776+72</f>
        <v>4848</v>
      </c>
      <c r="L29" s="13">
        <f>4047+377</f>
        <v>4424</v>
      </c>
      <c r="M29" s="13">
        <f>4554+373</f>
        <v>4927</v>
      </c>
      <c r="N29" s="22">
        <f>4220+31</f>
        <v>4251</v>
      </c>
      <c r="O29" s="22">
        <f>4282+26</f>
        <v>4308</v>
      </c>
      <c r="P29" s="22">
        <f>4583+53</f>
        <v>4636</v>
      </c>
      <c r="Q29" s="13">
        <f>4386+39</f>
        <v>4425</v>
      </c>
      <c r="R29" s="13">
        <v>4422</v>
      </c>
      <c r="S29" s="13">
        <v>4284</v>
      </c>
      <c r="T29" s="13">
        <f>4306+132</f>
        <v>4438</v>
      </c>
      <c r="U29" s="13">
        <f>4191+241</f>
        <v>4432</v>
      </c>
      <c r="V29" s="13">
        <f>4047+301</f>
        <v>4348</v>
      </c>
      <c r="W29" s="13">
        <f>4246+370</f>
        <v>4616</v>
      </c>
      <c r="X29" s="13">
        <f>5027+241</f>
        <v>5268</v>
      </c>
      <c r="Y29" s="13">
        <f>4611+177</f>
        <v>4788</v>
      </c>
      <c r="Z29" s="22">
        <f t="shared" si="0"/>
        <v>54161</v>
      </c>
      <c r="AA29" s="22">
        <f t="shared" si="1"/>
        <v>54386</v>
      </c>
      <c r="AB29" s="22">
        <f t="shared" si="4"/>
        <v>108547</v>
      </c>
      <c r="AC29" s="13">
        <v>91038</v>
      </c>
      <c r="AD29" s="45">
        <f t="shared" si="2"/>
        <v>16.130339852782665</v>
      </c>
      <c r="AE29"/>
      <c r="AH29"/>
      <c r="AK29"/>
    </row>
    <row r="30" spans="1:37">
      <c r="A30" s="34" t="s">
        <v>40</v>
      </c>
      <c r="B30" s="29">
        <v>0</v>
      </c>
      <c r="C30" s="29">
        <v>0</v>
      </c>
      <c r="D30" s="29">
        <v>0</v>
      </c>
      <c r="E30" s="29">
        <v>0</v>
      </c>
      <c r="F30" s="31">
        <v>0</v>
      </c>
      <c r="G30" s="31">
        <v>0</v>
      </c>
      <c r="H30" s="68">
        <v>0</v>
      </c>
      <c r="I30" s="16">
        <v>0</v>
      </c>
      <c r="J30" s="16">
        <v>0</v>
      </c>
      <c r="K30" s="72">
        <v>0</v>
      </c>
      <c r="L30" s="16">
        <v>0</v>
      </c>
      <c r="M30" s="16">
        <v>0</v>
      </c>
      <c r="N30" s="24">
        <v>0</v>
      </c>
      <c r="O30" s="24">
        <v>0</v>
      </c>
      <c r="P30" s="24">
        <v>0</v>
      </c>
      <c r="Q30" s="14">
        <v>0</v>
      </c>
      <c r="R30" s="14">
        <v>552</v>
      </c>
      <c r="S30" s="14">
        <v>352</v>
      </c>
      <c r="T30" s="14">
        <v>0</v>
      </c>
      <c r="U30" s="13">
        <v>4061</v>
      </c>
      <c r="V30" s="13">
        <v>4264</v>
      </c>
      <c r="W30" s="13">
        <v>523</v>
      </c>
      <c r="X30" s="13">
        <v>324</v>
      </c>
      <c r="Y30" s="14">
        <v>0</v>
      </c>
      <c r="Z30" s="22">
        <f t="shared" si="0"/>
        <v>5140</v>
      </c>
      <c r="AA30" s="22">
        <f t="shared" si="1"/>
        <v>4936</v>
      </c>
      <c r="AB30" s="22">
        <f t="shared" si="4"/>
        <v>10076</v>
      </c>
      <c r="AC30" s="13">
        <v>17639</v>
      </c>
      <c r="AD30" s="45">
        <f t="shared" si="2"/>
        <v>-75.059547439460104</v>
      </c>
      <c r="AE30"/>
      <c r="AH30"/>
      <c r="AK30"/>
    </row>
    <row r="31" spans="1:37">
      <c r="A31" s="34" t="s">
        <v>41</v>
      </c>
      <c r="B31" s="28">
        <f>1663+91</f>
        <v>1754</v>
      </c>
      <c r="C31" s="28">
        <f>1391+107</f>
        <v>1498</v>
      </c>
      <c r="D31" s="28">
        <f>1507+40</f>
        <v>1547</v>
      </c>
      <c r="E31" s="28">
        <f>1488+61</f>
        <v>1549</v>
      </c>
      <c r="F31" s="28">
        <f>1330+148</f>
        <v>1478</v>
      </c>
      <c r="G31" s="28">
        <f>1271+138</f>
        <v>1409</v>
      </c>
      <c r="H31" s="67">
        <f>1443+98</f>
        <v>1541</v>
      </c>
      <c r="I31" s="13">
        <f>1321+84</f>
        <v>1405</v>
      </c>
      <c r="J31" s="13">
        <f>1306+152</f>
        <v>1458</v>
      </c>
      <c r="K31" s="71">
        <f>1382+36</f>
        <v>1418</v>
      </c>
      <c r="L31" s="13">
        <f>1399+113</f>
        <v>1512</v>
      </c>
      <c r="M31" s="13">
        <f>1351+111</f>
        <v>1462</v>
      </c>
      <c r="N31" s="22">
        <f>1643+67</f>
        <v>1710</v>
      </c>
      <c r="O31" s="22">
        <f>1643+56</f>
        <v>1699</v>
      </c>
      <c r="P31" s="22">
        <f>1901+112</f>
        <v>2013</v>
      </c>
      <c r="Q31" s="13">
        <f>1826+104</f>
        <v>1930</v>
      </c>
      <c r="R31" s="13">
        <f>2359+151</f>
        <v>2510</v>
      </c>
      <c r="S31" s="13">
        <f>1580+125</f>
        <v>1705</v>
      </c>
      <c r="T31" s="13">
        <v>2483</v>
      </c>
      <c r="U31" s="13">
        <v>2132</v>
      </c>
      <c r="V31" s="13">
        <v>2071</v>
      </c>
      <c r="W31" s="13">
        <v>2525</v>
      </c>
      <c r="X31" s="13">
        <v>2590</v>
      </c>
      <c r="Y31" s="13">
        <v>2362</v>
      </c>
      <c r="Z31" s="22">
        <f t="shared" si="0"/>
        <v>22667</v>
      </c>
      <c r="AA31" s="22">
        <f t="shared" si="1"/>
        <v>21094</v>
      </c>
      <c r="AB31" s="22">
        <f t="shared" si="4"/>
        <v>43761</v>
      </c>
      <c r="AC31" s="13">
        <v>24512</v>
      </c>
      <c r="AD31" s="45">
        <f t="shared" si="2"/>
        <v>43.98665478394004</v>
      </c>
      <c r="AE31"/>
      <c r="AH31"/>
      <c r="AK31"/>
    </row>
    <row r="32" spans="1:37">
      <c r="A32" s="34" t="s">
        <v>42</v>
      </c>
      <c r="B32" s="39">
        <v>0</v>
      </c>
      <c r="C32" s="39">
        <v>0</v>
      </c>
      <c r="D32" s="31">
        <v>0</v>
      </c>
      <c r="E32" s="31">
        <v>0</v>
      </c>
      <c r="F32" s="31">
        <v>0</v>
      </c>
      <c r="G32" s="31">
        <v>0</v>
      </c>
      <c r="H32" s="68">
        <v>0</v>
      </c>
      <c r="I32" s="16">
        <v>0</v>
      </c>
      <c r="J32" s="16">
        <v>0</v>
      </c>
      <c r="K32" s="72">
        <v>0</v>
      </c>
      <c r="L32" s="16">
        <v>0</v>
      </c>
      <c r="M32" s="16">
        <v>0</v>
      </c>
      <c r="N32" s="21">
        <v>0</v>
      </c>
      <c r="O32" s="21">
        <v>0</v>
      </c>
      <c r="P32" s="21">
        <v>0</v>
      </c>
      <c r="Q32" s="16">
        <v>0</v>
      </c>
      <c r="R32" s="16">
        <v>0</v>
      </c>
      <c r="S32" s="16">
        <v>0</v>
      </c>
      <c r="T32" s="16">
        <v>150</v>
      </c>
      <c r="U32" s="16">
        <v>3208</v>
      </c>
      <c r="V32" s="13">
        <v>1819</v>
      </c>
      <c r="W32" s="13">
        <v>131</v>
      </c>
      <c r="X32" s="14">
        <v>3553</v>
      </c>
      <c r="Y32" s="14">
        <v>326</v>
      </c>
      <c r="Z32" s="24">
        <f t="shared" si="0"/>
        <v>5522</v>
      </c>
      <c r="AA32" s="24">
        <f t="shared" si="1"/>
        <v>3665</v>
      </c>
      <c r="AB32" s="21">
        <f t="shared" si="4"/>
        <v>9187</v>
      </c>
      <c r="AC32" s="13">
        <v>1441</v>
      </c>
      <c r="AD32" s="45">
        <f t="shared" si="2"/>
        <v>84.314792641776421</v>
      </c>
      <c r="AE32"/>
      <c r="AH32"/>
      <c r="AK32"/>
    </row>
    <row r="33" spans="1:37">
      <c r="A33" s="34" t="s">
        <v>43</v>
      </c>
      <c r="B33" s="28">
        <f>619+193</f>
        <v>812</v>
      </c>
      <c r="C33" s="28">
        <f>630+228</f>
        <v>858</v>
      </c>
      <c r="D33" s="28">
        <v>1405</v>
      </c>
      <c r="E33" s="28">
        <v>1399</v>
      </c>
      <c r="F33" s="28">
        <f>949+102</f>
        <v>1051</v>
      </c>
      <c r="G33" s="28">
        <f>926+89</f>
        <v>1015</v>
      </c>
      <c r="H33" s="67">
        <f>989+44</f>
        <v>1033</v>
      </c>
      <c r="I33" s="13">
        <f>815+52</f>
        <v>867</v>
      </c>
      <c r="J33" s="13">
        <f>909+59</f>
        <v>968</v>
      </c>
      <c r="K33" s="71">
        <f>927+55</f>
        <v>982</v>
      </c>
      <c r="L33" s="13">
        <f>909+59</f>
        <v>968</v>
      </c>
      <c r="M33" s="13">
        <f>927+55</f>
        <v>982</v>
      </c>
      <c r="N33" s="22">
        <f>1059+137</f>
        <v>1196</v>
      </c>
      <c r="O33" s="22">
        <f>886+135</f>
        <v>1021</v>
      </c>
      <c r="P33" s="22">
        <f>1195+22</f>
        <v>1217</v>
      </c>
      <c r="Q33" s="13">
        <f>1178+27</f>
        <v>1205</v>
      </c>
      <c r="R33" s="13">
        <f>1297+109</f>
        <v>1406</v>
      </c>
      <c r="S33" s="13">
        <f>1107+88</f>
        <v>1195</v>
      </c>
      <c r="T33" s="13">
        <f>1229+91</f>
        <v>1320</v>
      </c>
      <c r="U33" s="13">
        <f>1112+63</f>
        <v>1175</v>
      </c>
      <c r="V33" s="13">
        <v>2445</v>
      </c>
      <c r="W33" s="13">
        <v>313</v>
      </c>
      <c r="X33" s="13">
        <f>1437+206</f>
        <v>1643</v>
      </c>
      <c r="Y33" s="13">
        <f>1177+190</f>
        <v>1367</v>
      </c>
      <c r="Z33" s="22">
        <f t="shared" si="0"/>
        <v>15464</v>
      </c>
      <c r="AA33" s="22">
        <f t="shared" si="1"/>
        <v>12379</v>
      </c>
      <c r="AB33" s="22">
        <f t="shared" si="4"/>
        <v>27843</v>
      </c>
      <c r="AC33" s="13">
        <v>8217</v>
      </c>
      <c r="AD33" s="45">
        <f t="shared" si="2"/>
        <v>70.488093955392742</v>
      </c>
      <c r="AE33"/>
      <c r="AH33"/>
      <c r="AK33"/>
    </row>
    <row r="34" spans="1:37">
      <c r="A34" s="34" t="s">
        <v>44</v>
      </c>
      <c r="B34" s="28">
        <f>63+167</f>
        <v>230</v>
      </c>
      <c r="C34" s="28">
        <f>76+210</f>
        <v>286</v>
      </c>
      <c r="D34" s="28">
        <v>42</v>
      </c>
      <c r="E34" s="28">
        <f>11+31</f>
        <v>42</v>
      </c>
      <c r="F34" s="28">
        <f>100+46</f>
        <v>146</v>
      </c>
      <c r="G34" s="28">
        <f>96+34</f>
        <v>130</v>
      </c>
      <c r="H34" s="67">
        <f>27+146</f>
        <v>173</v>
      </c>
      <c r="I34" s="13">
        <f>22+121</f>
        <v>143</v>
      </c>
      <c r="J34" s="13">
        <f>28+173</f>
        <v>201</v>
      </c>
      <c r="K34" s="71">
        <f>24+143</f>
        <v>167</v>
      </c>
      <c r="L34" s="13">
        <f>16+178</f>
        <v>194</v>
      </c>
      <c r="M34" s="13">
        <f>23+240</f>
        <v>263</v>
      </c>
      <c r="N34" s="22">
        <v>119</v>
      </c>
      <c r="O34" s="22">
        <v>91</v>
      </c>
      <c r="P34" s="22">
        <v>41</v>
      </c>
      <c r="Q34" s="13">
        <v>4</v>
      </c>
      <c r="R34" s="13">
        <v>129</v>
      </c>
      <c r="S34" s="13">
        <v>75</v>
      </c>
      <c r="T34" s="13">
        <v>102</v>
      </c>
      <c r="U34" s="13">
        <v>4417</v>
      </c>
      <c r="V34" s="13">
        <v>1870</v>
      </c>
      <c r="W34" s="13">
        <v>24</v>
      </c>
      <c r="X34" s="13">
        <v>2793</v>
      </c>
      <c r="Y34" s="13">
        <v>49</v>
      </c>
      <c r="Z34" s="22">
        <f t="shared" si="0"/>
        <v>6040</v>
      </c>
      <c r="AA34" s="22">
        <f t="shared" si="1"/>
        <v>5691</v>
      </c>
      <c r="AB34" s="22">
        <f t="shared" si="4"/>
        <v>11731</v>
      </c>
      <c r="AC34" s="13">
        <v>12311</v>
      </c>
      <c r="AD34" s="45">
        <f t="shared" si="2"/>
        <v>-4.9441650328190265</v>
      </c>
      <c r="AE34"/>
      <c r="AH34"/>
      <c r="AK34"/>
    </row>
    <row r="35" spans="1:37" s="11" customFormat="1">
      <c r="A35" s="34" t="s">
        <v>45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67">
        <v>0</v>
      </c>
      <c r="I35" s="13">
        <v>0</v>
      </c>
      <c r="J35" s="13"/>
      <c r="K35" s="71"/>
      <c r="L35" s="13"/>
      <c r="M35" s="13"/>
      <c r="N35" s="22"/>
      <c r="O35" s="22"/>
      <c r="P35" s="22"/>
      <c r="Q35" s="13"/>
      <c r="R35" s="13"/>
      <c r="S35" s="13"/>
      <c r="T35" s="13">
        <v>0</v>
      </c>
      <c r="U35" s="13">
        <v>4327</v>
      </c>
      <c r="V35" s="13">
        <f>543+550+200+546</f>
        <v>1839</v>
      </c>
      <c r="W35" s="13">
        <v>0</v>
      </c>
      <c r="X35" s="13">
        <f>546+546+546+546+546</f>
        <v>2730</v>
      </c>
      <c r="Y35" s="13">
        <v>0</v>
      </c>
      <c r="Z35" s="22">
        <f t="shared" si="0"/>
        <v>4569</v>
      </c>
      <c r="AA35" s="22">
        <f t="shared" si="1"/>
        <v>4327</v>
      </c>
      <c r="AB35" s="22">
        <f t="shared" si="4"/>
        <v>8896</v>
      </c>
      <c r="AC35" s="13"/>
      <c r="AD35" s="45"/>
    </row>
    <row r="36" spans="1:37">
      <c r="A36" s="34" t="s">
        <v>46</v>
      </c>
      <c r="B36" s="28">
        <v>431</v>
      </c>
      <c r="C36" s="28">
        <v>419</v>
      </c>
      <c r="D36" s="28">
        <v>238</v>
      </c>
      <c r="E36" s="28">
        <v>183</v>
      </c>
      <c r="F36" s="28">
        <f>283+20</f>
        <v>303</v>
      </c>
      <c r="G36" s="28">
        <f>287+37</f>
        <v>324</v>
      </c>
      <c r="H36" s="67"/>
      <c r="I36" s="13"/>
      <c r="J36" s="13">
        <f>217+37</f>
        <v>254</v>
      </c>
      <c r="K36" s="71">
        <f>254+57</f>
        <v>311</v>
      </c>
      <c r="L36" s="13">
        <v>454</v>
      </c>
      <c r="M36" s="13">
        <v>471</v>
      </c>
      <c r="N36" s="22">
        <v>271</v>
      </c>
      <c r="O36" s="22">
        <v>272</v>
      </c>
      <c r="P36" s="22">
        <f>265+97</f>
        <v>362</v>
      </c>
      <c r="Q36" s="13">
        <f>193+95</f>
        <v>288</v>
      </c>
      <c r="R36" s="13"/>
      <c r="S36" s="13"/>
      <c r="T36" s="13">
        <f>277+32</f>
        <v>309</v>
      </c>
      <c r="U36" s="13">
        <f>234+23</f>
        <v>257</v>
      </c>
      <c r="V36" s="13">
        <v>260</v>
      </c>
      <c r="W36" s="13">
        <v>174</v>
      </c>
      <c r="X36" s="13">
        <f>434+142</f>
        <v>576</v>
      </c>
      <c r="Y36" s="13">
        <f>337+146</f>
        <v>483</v>
      </c>
      <c r="Z36" s="22">
        <f t="shared" si="0"/>
        <v>3458</v>
      </c>
      <c r="AA36" s="22">
        <f t="shared" si="1"/>
        <v>3182</v>
      </c>
      <c r="AB36" s="22">
        <f t="shared" si="4"/>
        <v>6640</v>
      </c>
      <c r="AC36" s="13">
        <v>11307</v>
      </c>
      <c r="AD36" s="45">
        <f t="shared" si="2"/>
        <v>-70.286144578313255</v>
      </c>
      <c r="AE36"/>
      <c r="AH36"/>
      <c r="AK36"/>
    </row>
    <row r="37" spans="1:37">
      <c r="A37" s="34" t="s">
        <v>47</v>
      </c>
      <c r="B37" s="28">
        <f>273</f>
        <v>273</v>
      </c>
      <c r="C37" s="28">
        <v>291</v>
      </c>
      <c r="D37" s="28">
        <f>113+2</f>
        <v>115</v>
      </c>
      <c r="E37" s="28">
        <f>212+13</f>
        <v>225</v>
      </c>
      <c r="F37" s="28">
        <f>408</f>
        <v>408</v>
      </c>
      <c r="G37" s="28">
        <v>407</v>
      </c>
      <c r="H37" s="67">
        <v>274</v>
      </c>
      <c r="I37" s="13">
        <v>253</v>
      </c>
      <c r="J37" s="13">
        <f>408+936</f>
        <v>1344</v>
      </c>
      <c r="K37" s="71">
        <f>291+971</f>
        <v>1262</v>
      </c>
      <c r="L37" s="13">
        <f>201+251</f>
        <v>452</v>
      </c>
      <c r="M37" s="13">
        <f>395+374</f>
        <v>769</v>
      </c>
      <c r="N37" s="22">
        <v>467</v>
      </c>
      <c r="O37" s="22">
        <v>371</v>
      </c>
      <c r="P37" s="22">
        <v>488</v>
      </c>
      <c r="Q37" s="13">
        <v>571</v>
      </c>
      <c r="R37" s="13">
        <v>363</v>
      </c>
      <c r="S37" s="13">
        <v>440</v>
      </c>
      <c r="T37" s="13"/>
      <c r="U37" s="13"/>
      <c r="V37" s="13"/>
      <c r="W37" s="13"/>
      <c r="X37" s="13"/>
      <c r="Y37" s="13"/>
      <c r="Z37" s="22">
        <f t="shared" si="0"/>
        <v>4184</v>
      </c>
      <c r="AA37" s="22">
        <f t="shared" si="1"/>
        <v>4589</v>
      </c>
      <c r="AB37" s="22">
        <f>SUM(Z37:AA37)</f>
        <v>8773</v>
      </c>
      <c r="AC37" s="13">
        <v>9396</v>
      </c>
      <c r="AD37" s="45">
        <f t="shared" si="2"/>
        <v>-7.1013336372962499</v>
      </c>
      <c r="AE37"/>
      <c r="AH37"/>
      <c r="AK37"/>
    </row>
    <row r="38" spans="1:37" s="11" customFormat="1">
      <c r="A38" s="34" t="s">
        <v>48</v>
      </c>
      <c r="B38" s="28"/>
      <c r="C38" s="28"/>
      <c r="D38" s="28"/>
      <c r="E38" s="28"/>
      <c r="F38" s="28"/>
      <c r="G38" s="28"/>
      <c r="H38" s="67"/>
      <c r="I38" s="13"/>
      <c r="J38" s="13"/>
      <c r="K38" s="71"/>
      <c r="L38" s="13"/>
      <c r="M38" s="13"/>
      <c r="N38" s="22"/>
      <c r="O38" s="22"/>
      <c r="P38" s="22"/>
      <c r="Q38" s="13"/>
      <c r="R38" s="13"/>
      <c r="S38" s="13"/>
      <c r="T38" s="13"/>
      <c r="U38" s="13"/>
      <c r="V38" s="13"/>
      <c r="W38" s="13"/>
      <c r="X38" s="13"/>
      <c r="Y38" s="13"/>
      <c r="Z38" s="22"/>
      <c r="AA38" s="22"/>
      <c r="AB38" s="22"/>
      <c r="AC38" s="13"/>
      <c r="AD38" s="45"/>
    </row>
    <row r="39" spans="1:37">
      <c r="A39" s="34" t="s">
        <v>49</v>
      </c>
      <c r="B39" s="29">
        <v>0</v>
      </c>
      <c r="C39" s="29">
        <v>0</v>
      </c>
      <c r="D39" s="29">
        <v>0</v>
      </c>
      <c r="E39" s="29">
        <v>0</v>
      </c>
      <c r="F39" s="28">
        <v>48</v>
      </c>
      <c r="G39" s="28">
        <v>37</v>
      </c>
      <c r="H39" s="68">
        <v>382</v>
      </c>
      <c r="I39" s="16">
        <v>415</v>
      </c>
      <c r="J39" s="16">
        <v>87</v>
      </c>
      <c r="K39" s="72">
        <v>77</v>
      </c>
      <c r="L39" s="16">
        <v>40</v>
      </c>
      <c r="M39" s="16">
        <v>51</v>
      </c>
      <c r="N39" s="22">
        <v>34</v>
      </c>
      <c r="O39" s="22">
        <v>24</v>
      </c>
      <c r="P39" s="22">
        <v>34</v>
      </c>
      <c r="Q39" s="13">
        <v>26</v>
      </c>
      <c r="R39" s="13">
        <v>11</v>
      </c>
      <c r="S39" s="13">
        <v>14</v>
      </c>
      <c r="T39" s="13">
        <v>60</v>
      </c>
      <c r="U39" s="13">
        <v>35</v>
      </c>
      <c r="V39" s="13">
        <v>74</v>
      </c>
      <c r="W39" s="13">
        <v>87</v>
      </c>
      <c r="X39" s="13">
        <v>200</v>
      </c>
      <c r="Y39" s="13">
        <v>259</v>
      </c>
      <c r="Z39" s="22">
        <f>B39+D39+F39+H39+J39+L39+N39+P39+R39+T39+V39+X39</f>
        <v>970</v>
      </c>
      <c r="AA39" s="22">
        <f>C39+E39+G39+I39+K39+M39+O39+Q39+S39+U39+W39+Y39</f>
        <v>1025</v>
      </c>
      <c r="AB39" s="22">
        <f>SUM(Z39:AA39)</f>
        <v>1995</v>
      </c>
      <c r="AC39" s="13">
        <v>4708</v>
      </c>
      <c r="AD39" s="45">
        <f t="shared" si="2"/>
        <v>-135.98997493734336</v>
      </c>
      <c r="AE39"/>
      <c r="AH39"/>
      <c r="AK39"/>
    </row>
    <row r="40" spans="1:37">
      <c r="A40" s="34" t="s">
        <v>50</v>
      </c>
      <c r="B40" s="40">
        <f>SUM(B8:B39)</f>
        <v>501101</v>
      </c>
      <c r="C40" s="40">
        <f>SUM(C8:C39)</f>
        <v>512061</v>
      </c>
      <c r="D40" s="40">
        <f>SUM(D8:D39)</f>
        <v>466160</v>
      </c>
      <c r="E40" s="40">
        <f>SUM(E8:E39)</f>
        <v>466814</v>
      </c>
      <c r="F40" s="40">
        <f t="shared" ref="F40:K40" si="5">SUM(F8:F39)</f>
        <v>503206</v>
      </c>
      <c r="G40" s="40">
        <f t="shared" si="5"/>
        <v>506334</v>
      </c>
      <c r="H40" s="56">
        <f t="shared" si="5"/>
        <v>563285</v>
      </c>
      <c r="I40" s="5">
        <f t="shared" si="5"/>
        <v>553263</v>
      </c>
      <c r="J40" s="5">
        <f t="shared" si="5"/>
        <v>554510</v>
      </c>
      <c r="K40" s="73">
        <f t="shared" si="5"/>
        <v>551562</v>
      </c>
      <c r="L40" s="5">
        <f>SUM(L8:L39)</f>
        <v>568651</v>
      </c>
      <c r="M40" s="5">
        <f>SUM(M8:M39)</f>
        <v>534622</v>
      </c>
      <c r="N40" s="23">
        <f t="shared" ref="N40:AA40" si="6">SUM(N8:N39)</f>
        <v>611621</v>
      </c>
      <c r="O40" s="23">
        <f t="shared" si="6"/>
        <v>611635</v>
      </c>
      <c r="P40" s="23">
        <f t="shared" si="6"/>
        <v>635968</v>
      </c>
      <c r="Q40" s="5">
        <f t="shared" si="6"/>
        <v>661364</v>
      </c>
      <c r="R40" s="5">
        <f t="shared" si="6"/>
        <v>666294</v>
      </c>
      <c r="S40" s="5">
        <f t="shared" si="6"/>
        <v>611721</v>
      </c>
      <c r="T40" s="5">
        <f t="shared" si="6"/>
        <v>595710</v>
      </c>
      <c r="U40" s="5">
        <f t="shared" si="6"/>
        <v>645979</v>
      </c>
      <c r="V40" s="5">
        <f t="shared" si="6"/>
        <v>619001</v>
      </c>
      <c r="W40" s="5">
        <f t="shared" si="6"/>
        <v>615544</v>
      </c>
      <c r="X40" s="5">
        <f t="shared" si="6"/>
        <v>746494</v>
      </c>
      <c r="Y40" s="5">
        <f t="shared" si="6"/>
        <v>678777</v>
      </c>
      <c r="Z40" s="23">
        <f t="shared" si="6"/>
        <v>7032001</v>
      </c>
      <c r="AA40" s="23">
        <f t="shared" si="6"/>
        <v>6949676</v>
      </c>
      <c r="AB40" s="23">
        <f>SUM(Z40:AA40)</f>
        <v>13981677</v>
      </c>
      <c r="AC40" s="5">
        <f>SUM(AC8:AC39)</f>
        <v>12514398</v>
      </c>
      <c r="AD40" s="65">
        <f t="shared" si="2"/>
        <v>10.494299074424335</v>
      </c>
      <c r="AE40"/>
      <c r="AH40"/>
      <c r="AK40"/>
    </row>
    <row r="41" spans="1:37">
      <c r="B41" s="43" t="s">
        <v>107</v>
      </c>
      <c r="C41" s="43"/>
      <c r="D41" s="43"/>
      <c r="J41" s="43" t="s">
        <v>91</v>
      </c>
      <c r="K41" s="43"/>
      <c r="L41" s="43"/>
      <c r="T41" s="11"/>
      <c r="V41"/>
      <c r="W41" s="11"/>
      <c r="Y41"/>
      <c r="Z41" s="11"/>
      <c r="AB41"/>
      <c r="AC41" s="11"/>
      <c r="AE41"/>
      <c r="AF41" s="11"/>
      <c r="AH41"/>
      <c r="AI41" s="11"/>
      <c r="AK41"/>
    </row>
  </sheetData>
  <mergeCells count="17">
    <mergeCell ref="A1:O1"/>
    <mergeCell ref="A2:O2"/>
    <mergeCell ref="A3:O3"/>
    <mergeCell ref="A4:O4"/>
    <mergeCell ref="B6:C6"/>
    <mergeCell ref="D6:E6"/>
    <mergeCell ref="F6:G6"/>
    <mergeCell ref="H6:I6"/>
    <mergeCell ref="J6:K6"/>
    <mergeCell ref="L6:M6"/>
    <mergeCell ref="N6:O6"/>
    <mergeCell ref="Z6:AB6"/>
    <mergeCell ref="P6:Q6"/>
    <mergeCell ref="R6:S6"/>
    <mergeCell ref="T6:U6"/>
    <mergeCell ref="V6:W6"/>
    <mergeCell ref="X6:Y6"/>
  </mergeCells>
  <pageMargins left="0.7" right="0.7" top="0.75" bottom="0.75" header="0.3" footer="0.3"/>
  <pageSetup scale="80" orientation="landscape" r:id="rId1"/>
  <colBreaks count="1" manualBreakCount="1">
    <brk id="15" max="39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P41"/>
  <sheetViews>
    <sheetView workbookViewId="0">
      <pane xSplit="1" topLeftCell="B1" activePane="topRight" state="frozen"/>
      <selection activeCell="A5" sqref="A5"/>
      <selection pane="topRight" activeCell="M42" sqref="M42"/>
    </sheetView>
  </sheetViews>
  <sheetFormatPr defaultRowHeight="15"/>
  <cols>
    <col min="1" max="1" width="12.28515625" customWidth="1"/>
    <col min="22" max="22" width="9.140625" style="11"/>
    <col min="25" max="25" width="9.140625" style="11"/>
    <col min="28" max="28" width="9.140625" style="11"/>
    <col min="30" max="30" width="12.7109375" customWidth="1"/>
    <col min="31" max="31" width="9.140625" style="11"/>
    <col min="34" max="34" width="9.140625" style="11"/>
    <col min="37" max="37" width="9.140625" style="11"/>
    <col min="41" max="41" width="11" customWidth="1"/>
  </cols>
  <sheetData>
    <row r="1" spans="1:42" ht="15.7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80"/>
      <c r="Q1" s="80"/>
      <c r="R1" s="80"/>
      <c r="S1" s="80"/>
      <c r="T1" s="80"/>
      <c r="U1" s="80"/>
      <c r="V1" s="80"/>
      <c r="W1" s="80"/>
      <c r="X1" s="11"/>
      <c r="Z1" s="11"/>
      <c r="AA1" s="11"/>
      <c r="AC1" s="11"/>
      <c r="AD1" s="11"/>
      <c r="AF1" s="11"/>
      <c r="AG1" s="11"/>
      <c r="AI1" s="11"/>
      <c r="AJ1" s="11"/>
      <c r="AL1" s="11"/>
      <c r="AM1" s="11"/>
      <c r="AN1" s="11"/>
      <c r="AO1" s="11"/>
      <c r="AP1" s="11"/>
    </row>
    <row r="2" spans="1:42" ht="15.75">
      <c r="A2" s="109" t="s">
        <v>64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80"/>
      <c r="Q2" s="80"/>
      <c r="R2" s="80"/>
      <c r="S2" s="80"/>
      <c r="T2" s="80"/>
      <c r="U2" s="80"/>
      <c r="V2" s="80"/>
      <c r="W2" s="80"/>
      <c r="X2" s="11"/>
      <c r="Z2" s="11"/>
      <c r="AA2" s="11"/>
      <c r="AC2" s="11"/>
      <c r="AD2" s="11"/>
      <c r="AF2" s="11"/>
      <c r="AG2" s="11"/>
      <c r="AI2" s="11"/>
      <c r="AJ2" s="11"/>
      <c r="AL2" s="11"/>
      <c r="AM2" s="11"/>
      <c r="AN2" s="11"/>
      <c r="AO2" s="11"/>
      <c r="AP2" s="11"/>
    </row>
    <row r="3" spans="1:42" ht="15.75">
      <c r="A3" s="109" t="s">
        <v>51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80"/>
      <c r="Q3" s="80"/>
      <c r="R3" s="80"/>
      <c r="S3" s="80"/>
      <c r="T3" s="80"/>
      <c r="U3" s="80"/>
      <c r="V3" s="80"/>
      <c r="W3" s="80"/>
      <c r="X3" s="11"/>
      <c r="Z3" s="11"/>
      <c r="AA3" s="11"/>
      <c r="AC3" s="11"/>
      <c r="AD3" s="11"/>
      <c r="AF3" s="11"/>
      <c r="AG3" s="11"/>
      <c r="AI3" s="11"/>
      <c r="AJ3" s="11"/>
      <c r="AL3" s="11"/>
      <c r="AM3" s="11"/>
      <c r="AN3" s="11"/>
      <c r="AO3" s="11"/>
      <c r="AP3" s="11"/>
    </row>
    <row r="4" spans="1:42" ht="15.75">
      <c r="A4" s="109" t="s">
        <v>88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80"/>
      <c r="Q4" s="80"/>
      <c r="R4" s="80"/>
      <c r="S4" s="80"/>
      <c r="T4" s="80"/>
      <c r="U4" s="80"/>
      <c r="V4" s="80"/>
      <c r="W4" s="80"/>
      <c r="X4" s="11"/>
      <c r="Z4" s="11"/>
      <c r="AA4" s="11"/>
      <c r="AC4" s="11"/>
      <c r="AD4" s="11"/>
      <c r="AF4" s="11"/>
      <c r="AG4" s="11"/>
      <c r="AI4" s="11"/>
      <c r="AJ4" s="11"/>
      <c r="AL4" s="11"/>
      <c r="AM4" s="11"/>
      <c r="AN4" s="11"/>
      <c r="AO4" s="11"/>
      <c r="AP4" s="11"/>
    </row>
    <row r="5" spans="1:4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W5" s="11"/>
      <c r="X5" s="11"/>
      <c r="Z5" s="11"/>
      <c r="AA5" s="11"/>
      <c r="AC5" s="11"/>
      <c r="AD5" s="11"/>
      <c r="AF5" s="11"/>
      <c r="AG5" s="11"/>
      <c r="AI5" s="11"/>
      <c r="AJ5" s="11"/>
      <c r="AL5" s="11"/>
      <c r="AM5" s="11"/>
      <c r="AN5" s="11"/>
      <c r="AO5" s="11"/>
      <c r="AP5" s="11"/>
    </row>
    <row r="6" spans="1:42">
      <c r="A6" s="41"/>
      <c r="B6" s="105" t="s">
        <v>66</v>
      </c>
      <c r="C6" s="105"/>
      <c r="D6" s="105" t="s">
        <v>67</v>
      </c>
      <c r="E6" s="105"/>
      <c r="F6" s="105" t="s">
        <v>6</v>
      </c>
      <c r="G6" s="105"/>
      <c r="H6" s="105" t="s">
        <v>7</v>
      </c>
      <c r="I6" s="105"/>
      <c r="J6" s="105" t="s">
        <v>8</v>
      </c>
      <c r="K6" s="105"/>
      <c r="L6" s="105" t="s">
        <v>9</v>
      </c>
      <c r="M6" s="105"/>
      <c r="N6" s="105" t="s">
        <v>10</v>
      </c>
      <c r="O6" s="105"/>
      <c r="P6" s="105" t="s">
        <v>101</v>
      </c>
      <c r="Q6" s="105"/>
      <c r="R6" s="105" t="s">
        <v>83</v>
      </c>
      <c r="S6" s="105"/>
      <c r="T6" s="110" t="s">
        <v>84</v>
      </c>
      <c r="U6" s="110"/>
      <c r="V6" s="110" t="s">
        <v>85</v>
      </c>
      <c r="W6" s="110"/>
      <c r="X6" s="110" t="s">
        <v>86</v>
      </c>
      <c r="Y6" s="110"/>
      <c r="Z6" s="110" t="s">
        <v>16</v>
      </c>
      <c r="AA6" s="110"/>
      <c r="AB6" s="110"/>
      <c r="AC6" s="81"/>
      <c r="AD6" s="82"/>
      <c r="AE6" s="76"/>
      <c r="AF6" s="76"/>
      <c r="AG6" s="75"/>
      <c r="AH6" s="76"/>
      <c r="AI6" s="76"/>
      <c r="AJ6" s="75"/>
      <c r="AK6" s="76"/>
      <c r="AL6" s="76"/>
      <c r="AM6" s="77"/>
      <c r="AN6" s="77"/>
      <c r="AO6" s="77"/>
    </row>
    <row r="7" spans="1:42">
      <c r="A7" s="34" t="s">
        <v>68</v>
      </c>
      <c r="B7" s="34" t="s">
        <v>69</v>
      </c>
      <c r="C7" s="34" t="s">
        <v>70</v>
      </c>
      <c r="D7" s="34" t="s">
        <v>69</v>
      </c>
      <c r="E7" s="34" t="s">
        <v>70</v>
      </c>
      <c r="F7" s="34" t="s">
        <v>69</v>
      </c>
      <c r="G7" s="34" t="s">
        <v>70</v>
      </c>
      <c r="H7" s="34" t="s">
        <v>69</v>
      </c>
      <c r="I7" s="34" t="s">
        <v>70</v>
      </c>
      <c r="J7" s="34" t="s">
        <v>69</v>
      </c>
      <c r="K7" s="34" t="s">
        <v>70</v>
      </c>
      <c r="L7" s="34" t="s">
        <v>69</v>
      </c>
      <c r="M7" s="34" t="s">
        <v>70</v>
      </c>
      <c r="N7" s="36" t="s">
        <v>69</v>
      </c>
      <c r="O7" s="36" t="s">
        <v>70</v>
      </c>
      <c r="P7" s="36" t="s">
        <v>69</v>
      </c>
      <c r="Q7" s="36" t="s">
        <v>70</v>
      </c>
      <c r="R7" s="36" t="s">
        <v>69</v>
      </c>
      <c r="S7" s="36" t="s">
        <v>70</v>
      </c>
      <c r="T7" s="36" t="s">
        <v>69</v>
      </c>
      <c r="U7" s="36" t="s">
        <v>70</v>
      </c>
      <c r="V7" s="36" t="s">
        <v>69</v>
      </c>
      <c r="W7" s="36" t="s">
        <v>70</v>
      </c>
      <c r="X7" s="36" t="s">
        <v>69</v>
      </c>
      <c r="Y7" s="36" t="s">
        <v>70</v>
      </c>
      <c r="Z7" s="36" t="s">
        <v>69</v>
      </c>
      <c r="AA7" s="36" t="s">
        <v>70</v>
      </c>
      <c r="AB7" s="83" t="s">
        <v>102</v>
      </c>
      <c r="AC7" s="83" t="s">
        <v>103</v>
      </c>
      <c r="AD7" s="83" t="s">
        <v>17</v>
      </c>
      <c r="AE7"/>
      <c r="AH7"/>
      <c r="AK7"/>
    </row>
    <row r="8" spans="1:42">
      <c r="A8" s="34" t="s">
        <v>18</v>
      </c>
      <c r="B8" s="28">
        <f>2259+148+283+40</f>
        <v>2730</v>
      </c>
      <c r="C8" s="28">
        <f>2186+146+283+34</f>
        <v>2649</v>
      </c>
      <c r="D8" s="28">
        <f>2166+44+78+28</f>
        <v>2316</v>
      </c>
      <c r="E8" s="28">
        <f>2141+41+73+28</f>
        <v>2283</v>
      </c>
      <c r="F8" s="38">
        <f>2220+207+405+50</f>
        <v>2882</v>
      </c>
      <c r="G8" s="27">
        <f>2235+205+487+49</f>
        <v>2976</v>
      </c>
      <c r="H8" s="13">
        <f>2228+199+486+83</f>
        <v>2996</v>
      </c>
      <c r="I8" s="13">
        <f>2211+196+514+90</f>
        <v>3011</v>
      </c>
      <c r="J8" s="13">
        <f>2284+203+551+101</f>
        <v>3139</v>
      </c>
      <c r="K8" s="13">
        <f>2337+211+545+95</f>
        <v>3188</v>
      </c>
      <c r="L8" s="13">
        <v>3070</v>
      </c>
      <c r="M8" s="13">
        <v>3062</v>
      </c>
      <c r="N8" s="22">
        <f>2337+182+509+85</f>
        <v>3113</v>
      </c>
      <c r="O8" s="22">
        <f>2377+174+505+65</f>
        <v>3121</v>
      </c>
      <c r="P8" s="22">
        <f>2447+238+469+107</f>
        <v>3261</v>
      </c>
      <c r="Q8" s="13">
        <f>2459+238+469+109</f>
        <v>3275</v>
      </c>
      <c r="R8" s="17">
        <f>2137+256+422+161</f>
        <v>2976</v>
      </c>
      <c r="S8" s="17">
        <f>2145+255+435+162</f>
        <v>2997</v>
      </c>
      <c r="T8" s="13">
        <f>2232+206+529+151</f>
        <v>3118</v>
      </c>
      <c r="U8" s="13">
        <f>2206+207+529+145</f>
        <v>3087</v>
      </c>
      <c r="V8" s="13">
        <f>2181+199+575+106</f>
        <v>3061</v>
      </c>
      <c r="W8" s="17">
        <f>2159+210+589+111</f>
        <v>3069</v>
      </c>
      <c r="X8" s="13">
        <f>2487+193+445+146</f>
        <v>3271</v>
      </c>
      <c r="Y8" s="13">
        <f>2459+215+452+145</f>
        <v>3271</v>
      </c>
      <c r="Z8" s="22">
        <f t="shared" ref="Z8:Z34" si="0">B8+D8+F8+H8+J8+L8+N8+P8+R8+T8+V8+X8</f>
        <v>35933</v>
      </c>
      <c r="AA8" s="22">
        <f t="shared" ref="AA8:AA34" si="1">C8+E8+G8+I8+K8+M8+O8+Q8+S8+U8+W8+Y8</f>
        <v>35989</v>
      </c>
      <c r="AB8" s="22">
        <f t="shared" ref="AB8:AB39" si="2">SUM(Z8:AA8)</f>
        <v>71922</v>
      </c>
      <c r="AC8" s="13">
        <v>59876</v>
      </c>
      <c r="AD8" s="26">
        <f>(AB8-AC8)*100/AB8</f>
        <v>16.748699980534468</v>
      </c>
      <c r="AE8"/>
      <c r="AH8"/>
      <c r="AK8"/>
    </row>
    <row r="9" spans="1:42">
      <c r="A9" s="34" t="s">
        <v>19</v>
      </c>
      <c r="B9" s="28">
        <f>811+6+195</f>
        <v>1012</v>
      </c>
      <c r="C9" s="28">
        <f>821+8+195</f>
        <v>1024</v>
      </c>
      <c r="D9" s="28">
        <f>734+54+183</f>
        <v>971</v>
      </c>
      <c r="E9" s="28">
        <f>736+52+183</f>
        <v>971</v>
      </c>
      <c r="F9" s="28">
        <f>873+18+219</f>
        <v>1110</v>
      </c>
      <c r="G9" s="28">
        <f>864+18+219</f>
        <v>1101</v>
      </c>
      <c r="H9" s="13">
        <f>851+50+87</f>
        <v>988</v>
      </c>
      <c r="I9" s="13">
        <f>858+55+87</f>
        <v>1000</v>
      </c>
      <c r="J9" s="13">
        <f>780+109+45</f>
        <v>934</v>
      </c>
      <c r="K9" s="13">
        <f>781+46+109</f>
        <v>936</v>
      </c>
      <c r="L9" s="13">
        <f>839+47+226</f>
        <v>1112</v>
      </c>
      <c r="M9" s="13">
        <f>828+46+226</f>
        <v>1100</v>
      </c>
      <c r="N9" s="22">
        <f>880+24+210</f>
        <v>1114</v>
      </c>
      <c r="O9" s="22">
        <f>888+26+210</f>
        <v>1124</v>
      </c>
      <c r="P9" s="22">
        <f>856+25+211</f>
        <v>1092</v>
      </c>
      <c r="Q9" s="13">
        <f>842+23+211</f>
        <v>1076</v>
      </c>
      <c r="R9" s="17">
        <f>823+26+220</f>
        <v>1069</v>
      </c>
      <c r="S9" s="17">
        <f>826+30+220</f>
        <v>1076</v>
      </c>
      <c r="T9" s="13">
        <f>795+21+189</f>
        <v>1005</v>
      </c>
      <c r="U9" s="13">
        <f>795+22+189</f>
        <v>1006</v>
      </c>
      <c r="V9" s="13">
        <f>773+45+99</f>
        <v>917</v>
      </c>
      <c r="W9" s="17">
        <f>777+48+99</f>
        <v>924</v>
      </c>
      <c r="X9" s="13">
        <f>856+50+225</f>
        <v>1131</v>
      </c>
      <c r="Y9" s="13">
        <f>862+47+225</f>
        <v>1134</v>
      </c>
      <c r="Z9" s="22">
        <f t="shared" si="0"/>
        <v>12455</v>
      </c>
      <c r="AA9" s="22">
        <f t="shared" si="1"/>
        <v>12472</v>
      </c>
      <c r="AB9" s="22">
        <f t="shared" si="2"/>
        <v>24927</v>
      </c>
      <c r="AC9" s="13">
        <v>24712</v>
      </c>
      <c r="AD9" s="26">
        <f t="shared" ref="AD9:AD40" si="3">(AB9-AC9)*100/AB9</f>
        <v>0.86251855417820034</v>
      </c>
      <c r="AE9"/>
      <c r="AH9"/>
      <c r="AK9"/>
    </row>
    <row r="10" spans="1:42">
      <c r="A10" s="34" t="s">
        <v>71</v>
      </c>
      <c r="B10" s="28">
        <f>1700+365</f>
        <v>2065</v>
      </c>
      <c r="C10" s="28">
        <f>1700+365</f>
        <v>2065</v>
      </c>
      <c r="D10" s="28">
        <f>1577+334</f>
        <v>1911</v>
      </c>
      <c r="E10" s="28">
        <f>1577+334</f>
        <v>1911</v>
      </c>
      <c r="F10" s="28">
        <f>1644+221</f>
        <v>1865</v>
      </c>
      <c r="G10" s="28">
        <f>1644+221</f>
        <v>1865</v>
      </c>
      <c r="H10" s="13">
        <f>1681+442</f>
        <v>2123</v>
      </c>
      <c r="I10" s="13">
        <f>1681+442</f>
        <v>2123</v>
      </c>
      <c r="J10" s="13">
        <f>1645+563</f>
        <v>2208</v>
      </c>
      <c r="K10" s="13">
        <f>1645+563</f>
        <v>2208</v>
      </c>
      <c r="L10" s="13">
        <f>1716+377</f>
        <v>2093</v>
      </c>
      <c r="M10" s="13">
        <f>1716+377</f>
        <v>2093</v>
      </c>
      <c r="N10" s="22">
        <f>1785+526</f>
        <v>2311</v>
      </c>
      <c r="O10" s="22">
        <f>1785+526</f>
        <v>2311</v>
      </c>
      <c r="P10" s="22">
        <f>1799+401</f>
        <v>2200</v>
      </c>
      <c r="Q10" s="13">
        <f>1799+401</f>
        <v>2200</v>
      </c>
      <c r="R10" s="17">
        <f>2374</f>
        <v>2374</v>
      </c>
      <c r="S10" s="17">
        <v>2374</v>
      </c>
      <c r="T10" s="13">
        <f>2332</f>
        <v>2332</v>
      </c>
      <c r="U10" s="13">
        <v>2332</v>
      </c>
      <c r="V10" s="13">
        <f>2479</f>
        <v>2479</v>
      </c>
      <c r="W10" s="17">
        <v>2479</v>
      </c>
      <c r="X10" s="13">
        <f>2077+605</f>
        <v>2682</v>
      </c>
      <c r="Y10" s="13">
        <f>2077+605</f>
        <v>2682</v>
      </c>
      <c r="Z10" s="22">
        <f t="shared" si="0"/>
        <v>26643</v>
      </c>
      <c r="AA10" s="22">
        <f t="shared" si="1"/>
        <v>26643</v>
      </c>
      <c r="AB10" s="22">
        <f t="shared" si="2"/>
        <v>53286</v>
      </c>
      <c r="AC10" s="13">
        <v>48506</v>
      </c>
      <c r="AD10" s="26">
        <f t="shared" si="3"/>
        <v>8.9704612843898968</v>
      </c>
      <c r="AE10"/>
      <c r="AH10"/>
      <c r="AK10"/>
    </row>
    <row r="11" spans="1:42">
      <c r="A11" s="34" t="s">
        <v>72</v>
      </c>
      <c r="B11" s="28">
        <f>163+72</f>
        <v>235</v>
      </c>
      <c r="C11" s="28">
        <f>163+72</f>
        <v>235</v>
      </c>
      <c r="D11" s="28">
        <f>142+112</f>
        <v>254</v>
      </c>
      <c r="E11" s="28">
        <f>142+112</f>
        <v>254</v>
      </c>
      <c r="F11" s="28">
        <f>164+61</f>
        <v>225</v>
      </c>
      <c r="G11" s="28">
        <f>164+61</f>
        <v>225</v>
      </c>
      <c r="H11" s="13">
        <f>156+69</f>
        <v>225</v>
      </c>
      <c r="I11" s="13">
        <f>156+69</f>
        <v>225</v>
      </c>
      <c r="J11" s="13">
        <f>196+107</f>
        <v>303</v>
      </c>
      <c r="K11" s="13">
        <v>303</v>
      </c>
      <c r="L11" s="13">
        <f>175+103</f>
        <v>278</v>
      </c>
      <c r="M11" s="13">
        <f>175+103</f>
        <v>278</v>
      </c>
      <c r="N11" s="22">
        <f>211+87</f>
        <v>298</v>
      </c>
      <c r="O11" s="22">
        <f>211+87</f>
        <v>298</v>
      </c>
      <c r="P11" s="22">
        <f>179+114</f>
        <v>293</v>
      </c>
      <c r="Q11" s="13">
        <f>179+114</f>
        <v>293</v>
      </c>
      <c r="R11" s="17">
        <v>363</v>
      </c>
      <c r="S11" s="17">
        <v>363</v>
      </c>
      <c r="T11" s="13">
        <v>327</v>
      </c>
      <c r="U11" s="13">
        <v>327</v>
      </c>
      <c r="V11" s="13">
        <v>424</v>
      </c>
      <c r="W11" s="17">
        <v>424</v>
      </c>
      <c r="X11" s="13">
        <f>180+122</f>
        <v>302</v>
      </c>
      <c r="Y11" s="13">
        <f>180+122</f>
        <v>302</v>
      </c>
      <c r="Z11" s="22">
        <f t="shared" si="0"/>
        <v>3527</v>
      </c>
      <c r="AA11" s="22">
        <f t="shared" si="1"/>
        <v>3527</v>
      </c>
      <c r="AB11" s="22">
        <f t="shared" si="2"/>
        <v>7054</v>
      </c>
      <c r="AC11" s="13">
        <v>4400</v>
      </c>
      <c r="AD11" s="26">
        <f t="shared" si="3"/>
        <v>37.624043096115678</v>
      </c>
      <c r="AE11"/>
      <c r="AH11"/>
      <c r="AK11"/>
    </row>
    <row r="12" spans="1:42">
      <c r="A12" s="34" t="s">
        <v>73</v>
      </c>
      <c r="B12" s="28">
        <f>564+111+34+30</f>
        <v>739</v>
      </c>
      <c r="C12" s="28">
        <f>561+109+34+26</f>
        <v>730</v>
      </c>
      <c r="D12" s="28">
        <f>592+141+43+29</f>
        <v>805</v>
      </c>
      <c r="E12" s="28">
        <f>586+139+45+33</f>
        <v>803</v>
      </c>
      <c r="F12" s="28">
        <f>666+151+50+31</f>
        <v>898</v>
      </c>
      <c r="G12" s="28">
        <f>663+142+49+30</f>
        <v>884</v>
      </c>
      <c r="H12" s="13">
        <f>615+134+44+21</f>
        <v>814</v>
      </c>
      <c r="I12" s="13">
        <f>609+132+41+21</f>
        <v>803</v>
      </c>
      <c r="J12" s="13">
        <f>609+157+37+45</f>
        <v>848</v>
      </c>
      <c r="K12" s="13">
        <f>607+148+36+44</f>
        <v>835</v>
      </c>
      <c r="L12" s="13">
        <f>607+190+45+30</f>
        <v>872</v>
      </c>
      <c r="M12" s="13">
        <f>602+184+45+25</f>
        <v>856</v>
      </c>
      <c r="N12" s="22">
        <f>608+161+19</f>
        <v>788</v>
      </c>
      <c r="O12" s="22">
        <f>602+152+13</f>
        <v>767</v>
      </c>
      <c r="P12" s="22">
        <f>668+162+39+23</f>
        <v>892</v>
      </c>
      <c r="Q12" s="13">
        <f>665+159+39+23</f>
        <v>886</v>
      </c>
      <c r="R12" s="13">
        <f>622+183+43+15</f>
        <v>863</v>
      </c>
      <c r="S12" s="13">
        <f>620+179+42+15</f>
        <v>856</v>
      </c>
      <c r="T12" s="13">
        <f>601+226+51</f>
        <v>878</v>
      </c>
      <c r="U12" s="13">
        <f>596+203+39</f>
        <v>838</v>
      </c>
      <c r="V12" s="13">
        <f>605+211+35</f>
        <v>851</v>
      </c>
      <c r="W12" s="17">
        <f>603+200+38</f>
        <v>841</v>
      </c>
      <c r="X12" s="13">
        <f>663+244+39+46</f>
        <v>992</v>
      </c>
      <c r="Y12" s="13">
        <f>663+230+38+39</f>
        <v>970</v>
      </c>
      <c r="Z12" s="22">
        <f t="shared" si="0"/>
        <v>10240</v>
      </c>
      <c r="AA12" s="22">
        <f t="shared" si="1"/>
        <v>10069</v>
      </c>
      <c r="AB12" s="22">
        <f t="shared" si="2"/>
        <v>20309</v>
      </c>
      <c r="AC12" s="13">
        <v>21163</v>
      </c>
      <c r="AD12" s="26">
        <f t="shared" si="3"/>
        <v>-4.2050322517110637</v>
      </c>
      <c r="AE12"/>
      <c r="AH12"/>
      <c r="AK12"/>
    </row>
    <row r="13" spans="1:42">
      <c r="A13" s="34" t="s">
        <v>74</v>
      </c>
      <c r="B13" s="31">
        <f>14+7</f>
        <v>21</v>
      </c>
      <c r="C13" s="31">
        <f>10+12</f>
        <v>22</v>
      </c>
      <c r="D13" s="31">
        <f>14+6</f>
        <v>20</v>
      </c>
      <c r="E13" s="31">
        <f>14+11</f>
        <v>25</v>
      </c>
      <c r="F13" s="31">
        <f>15+7</f>
        <v>22</v>
      </c>
      <c r="G13" s="31">
        <f>9+12</f>
        <v>21</v>
      </c>
      <c r="H13" s="13">
        <f>13+11</f>
        <v>24</v>
      </c>
      <c r="I13" s="13">
        <f>11+9</f>
        <v>20</v>
      </c>
      <c r="J13" s="13">
        <f>14+10</f>
        <v>24</v>
      </c>
      <c r="K13" s="13">
        <f>9+15</f>
        <v>24</v>
      </c>
      <c r="L13" s="13">
        <f>14+11</f>
        <v>25</v>
      </c>
      <c r="M13" s="13">
        <v>25</v>
      </c>
      <c r="N13" s="22">
        <f>13+3+26</f>
        <v>42</v>
      </c>
      <c r="O13" s="22">
        <f>12+17+28</f>
        <v>57</v>
      </c>
      <c r="P13" s="22">
        <f>12+11</f>
        <v>23</v>
      </c>
      <c r="Q13" s="13">
        <v>26</v>
      </c>
      <c r="R13" s="13">
        <f>17+10</f>
        <v>27</v>
      </c>
      <c r="S13" s="13">
        <f>18+8</f>
        <v>26</v>
      </c>
      <c r="T13" s="13">
        <f>22+8+36</f>
        <v>66</v>
      </c>
      <c r="U13" s="13">
        <f>22+8+36</f>
        <v>66</v>
      </c>
      <c r="V13" s="13">
        <f>24+10+39</f>
        <v>73</v>
      </c>
      <c r="W13" s="17">
        <f>23+11+38</f>
        <v>72</v>
      </c>
      <c r="X13" s="13">
        <f>12+37</f>
        <v>49</v>
      </c>
      <c r="Y13" s="13">
        <f>10+39</f>
        <v>49</v>
      </c>
      <c r="Z13" s="22">
        <f t="shared" si="0"/>
        <v>416</v>
      </c>
      <c r="AA13" s="22">
        <f t="shared" si="1"/>
        <v>433</v>
      </c>
      <c r="AB13" s="22">
        <f t="shared" si="2"/>
        <v>849</v>
      </c>
      <c r="AC13" s="13">
        <v>1025</v>
      </c>
      <c r="AD13" s="26">
        <f t="shared" si="3"/>
        <v>-20.730270906949354</v>
      </c>
      <c r="AE13"/>
      <c r="AH13"/>
      <c r="AK13"/>
    </row>
    <row r="14" spans="1:42">
      <c r="A14" s="34" t="s">
        <v>24</v>
      </c>
      <c r="B14" s="28">
        <f>184+40</f>
        <v>224</v>
      </c>
      <c r="C14" s="28">
        <f>179+37</f>
        <v>216</v>
      </c>
      <c r="D14" s="28">
        <f>162+33</f>
        <v>195</v>
      </c>
      <c r="E14" s="28">
        <f>164+30</f>
        <v>194</v>
      </c>
      <c r="F14" s="28">
        <f>158+16</f>
        <v>174</v>
      </c>
      <c r="G14" s="28">
        <f>157+22</f>
        <v>179</v>
      </c>
      <c r="H14" s="13">
        <f>133+43</f>
        <v>176</v>
      </c>
      <c r="I14" s="13">
        <f>135+40</f>
        <v>175</v>
      </c>
      <c r="J14" s="13">
        <f>119+63</f>
        <v>182</v>
      </c>
      <c r="K14" s="13">
        <f>110+59</f>
        <v>169</v>
      </c>
      <c r="L14" s="13">
        <f>120+59</f>
        <v>179</v>
      </c>
      <c r="M14" s="13">
        <f>120+59</f>
        <v>179</v>
      </c>
      <c r="N14" s="22">
        <f>175+57</f>
        <v>232</v>
      </c>
      <c r="O14" s="22">
        <f>174+66</f>
        <v>240</v>
      </c>
      <c r="P14" s="22">
        <f>189+28</f>
        <v>217</v>
      </c>
      <c r="Q14" s="13">
        <f>187+24</f>
        <v>211</v>
      </c>
      <c r="R14" s="13">
        <f>172+66</f>
        <v>238</v>
      </c>
      <c r="S14" s="13">
        <f>174+65</f>
        <v>239</v>
      </c>
      <c r="T14" s="13">
        <f>162+62</f>
        <v>224</v>
      </c>
      <c r="U14" s="13">
        <f>160+62</f>
        <v>222</v>
      </c>
      <c r="V14" s="13">
        <f>189+70</f>
        <v>259</v>
      </c>
      <c r="W14" s="17">
        <f>191+57</f>
        <v>248</v>
      </c>
      <c r="X14" s="13">
        <f>179+71</f>
        <v>250</v>
      </c>
      <c r="Y14" s="13">
        <f>179+37</f>
        <v>216</v>
      </c>
      <c r="Z14" s="22">
        <f t="shared" si="0"/>
        <v>2550</v>
      </c>
      <c r="AA14" s="22">
        <f t="shared" si="1"/>
        <v>2488</v>
      </c>
      <c r="AB14" s="22">
        <f t="shared" si="2"/>
        <v>5038</v>
      </c>
      <c r="AC14" s="13">
        <v>4135</v>
      </c>
      <c r="AD14" s="26">
        <f t="shared" si="3"/>
        <v>17.923779277491068</v>
      </c>
      <c r="AE14"/>
      <c r="AH14"/>
      <c r="AK14"/>
    </row>
    <row r="15" spans="1:42">
      <c r="A15" s="34" t="s">
        <v>25</v>
      </c>
      <c r="B15" s="28">
        <f>57+8+2</f>
        <v>67</v>
      </c>
      <c r="C15" s="28">
        <f>57+13+2</f>
        <v>72</v>
      </c>
      <c r="D15" s="28">
        <f>51+5+4</f>
        <v>60</v>
      </c>
      <c r="E15" s="28">
        <f>55+3+3</f>
        <v>61</v>
      </c>
      <c r="F15" s="28">
        <f>45+13+3</f>
        <v>61</v>
      </c>
      <c r="G15" s="28">
        <f>48+12+4</f>
        <v>64</v>
      </c>
      <c r="H15" s="13">
        <f>52+8+4</f>
        <v>64</v>
      </c>
      <c r="I15" s="13">
        <f>53+10+4</f>
        <v>67</v>
      </c>
      <c r="J15" s="13">
        <f>59+11+6</f>
        <v>76</v>
      </c>
      <c r="K15" s="13">
        <f>59+10+6</f>
        <v>75</v>
      </c>
      <c r="L15" s="13">
        <f>58+20</f>
        <v>78</v>
      </c>
      <c r="M15" s="13">
        <f>59+18</f>
        <v>77</v>
      </c>
      <c r="N15" s="22">
        <f>14+4</f>
        <v>18</v>
      </c>
      <c r="O15" s="22">
        <f>6+4</f>
        <v>10</v>
      </c>
      <c r="P15" s="22">
        <f>79+16+7</f>
        <v>102</v>
      </c>
      <c r="Q15" s="13">
        <f>82+16+7</f>
        <v>105</v>
      </c>
      <c r="R15" s="13">
        <f>101+9+6</f>
        <v>116</v>
      </c>
      <c r="S15" s="13">
        <f>95+5+6</f>
        <v>106</v>
      </c>
      <c r="T15" s="13">
        <f>77+10+5</f>
        <v>92</v>
      </c>
      <c r="U15" s="13">
        <f>60+12+5</f>
        <v>77</v>
      </c>
      <c r="V15" s="13">
        <f>84+11+6</f>
        <v>101</v>
      </c>
      <c r="W15" s="17">
        <f>86+10+8</f>
        <v>104</v>
      </c>
      <c r="X15" s="13">
        <f>73+4+6</f>
        <v>83</v>
      </c>
      <c r="Y15" s="13">
        <f>86+5+5</f>
        <v>96</v>
      </c>
      <c r="Z15" s="22">
        <f t="shared" si="0"/>
        <v>918</v>
      </c>
      <c r="AA15" s="22">
        <f t="shared" si="1"/>
        <v>914</v>
      </c>
      <c r="AB15" s="22">
        <f t="shared" si="2"/>
        <v>1832</v>
      </c>
      <c r="AC15" s="13">
        <v>1971</v>
      </c>
      <c r="AD15" s="26">
        <f t="shared" si="3"/>
        <v>-7.5873362445414845</v>
      </c>
      <c r="AE15"/>
      <c r="AH15"/>
      <c r="AK15"/>
    </row>
    <row r="16" spans="1:42">
      <c r="A16" s="34" t="s">
        <v>26</v>
      </c>
      <c r="B16" s="29">
        <f>0</f>
        <v>0</v>
      </c>
      <c r="C16" s="29">
        <v>0</v>
      </c>
      <c r="D16" s="29">
        <f>0</f>
        <v>0</v>
      </c>
      <c r="E16" s="29">
        <v>0</v>
      </c>
      <c r="F16" s="29">
        <v>0</v>
      </c>
      <c r="G16" s="29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21">
        <f>0</f>
        <v>0</v>
      </c>
      <c r="O16" s="21">
        <v>0</v>
      </c>
      <c r="P16" s="21">
        <f>0</f>
        <v>0</v>
      </c>
      <c r="Q16" s="16">
        <v>0</v>
      </c>
      <c r="R16" s="16">
        <v>0</v>
      </c>
      <c r="S16" s="16">
        <v>0</v>
      </c>
      <c r="T16" s="16"/>
      <c r="U16" s="16"/>
      <c r="V16" s="16"/>
      <c r="W16" s="21"/>
      <c r="X16" s="13"/>
      <c r="Y16" s="13"/>
      <c r="Z16" s="22">
        <f t="shared" si="0"/>
        <v>0</v>
      </c>
      <c r="AA16" s="22">
        <f t="shared" si="1"/>
        <v>0</v>
      </c>
      <c r="AB16" s="21">
        <f t="shared" si="2"/>
        <v>0</v>
      </c>
      <c r="AC16" s="13">
        <v>6286</v>
      </c>
      <c r="AD16" s="26">
        <v>0</v>
      </c>
      <c r="AE16"/>
      <c r="AH16"/>
      <c r="AK16"/>
    </row>
    <row r="17" spans="1:37">
      <c r="A17" s="34" t="s">
        <v>27</v>
      </c>
      <c r="B17" s="28">
        <f>408+7</f>
        <v>415</v>
      </c>
      <c r="C17" s="28">
        <f>408+7</f>
        <v>415</v>
      </c>
      <c r="D17" s="28">
        <f>415+9</f>
        <v>424</v>
      </c>
      <c r="E17" s="28">
        <f>415+9</f>
        <v>424</v>
      </c>
      <c r="F17" s="28">
        <f>470+33</f>
        <v>503</v>
      </c>
      <c r="G17" s="28">
        <f>470+33</f>
        <v>503</v>
      </c>
      <c r="H17" s="13">
        <f>473+46</f>
        <v>519</v>
      </c>
      <c r="I17" s="13">
        <f>473+46</f>
        <v>519</v>
      </c>
      <c r="J17" s="13">
        <f>460+49</f>
        <v>509</v>
      </c>
      <c r="K17" s="13">
        <f>460+49</f>
        <v>509</v>
      </c>
      <c r="L17" s="13">
        <f>579+35</f>
        <v>614</v>
      </c>
      <c r="M17" s="13">
        <f>579+35</f>
        <v>614</v>
      </c>
      <c r="N17" s="22">
        <f>525+22</f>
        <v>547</v>
      </c>
      <c r="O17" s="22">
        <f>525+22</f>
        <v>547</v>
      </c>
      <c r="P17" s="22">
        <f>511+60</f>
        <v>571</v>
      </c>
      <c r="Q17" s="13">
        <f>511+60</f>
        <v>571</v>
      </c>
      <c r="R17" s="13">
        <f>398+44</f>
        <v>442</v>
      </c>
      <c r="S17" s="13">
        <f>398+44</f>
        <v>442</v>
      </c>
      <c r="T17" s="13">
        <f>551+46</f>
        <v>597</v>
      </c>
      <c r="U17" s="13">
        <f>551+46</f>
        <v>597</v>
      </c>
      <c r="V17" s="13"/>
      <c r="W17" s="17"/>
      <c r="X17" s="13">
        <f>573+93</f>
        <v>666</v>
      </c>
      <c r="Y17" s="13">
        <f>573+93</f>
        <v>666</v>
      </c>
      <c r="Z17" s="22">
        <f t="shared" si="0"/>
        <v>5807</v>
      </c>
      <c r="AA17" s="22">
        <f t="shared" si="1"/>
        <v>5807</v>
      </c>
      <c r="AB17" s="22">
        <f t="shared" si="2"/>
        <v>11614</v>
      </c>
      <c r="AC17" s="13">
        <v>12939</v>
      </c>
      <c r="AD17" s="26">
        <f t="shared" si="3"/>
        <v>-11.408644739107974</v>
      </c>
      <c r="AE17"/>
      <c r="AH17"/>
      <c r="AK17"/>
    </row>
    <row r="18" spans="1:37">
      <c r="A18" s="34" t="s">
        <v>75</v>
      </c>
      <c r="B18" s="28">
        <f>100+91</f>
        <v>191</v>
      </c>
      <c r="C18" s="28">
        <v>188</v>
      </c>
      <c r="D18" s="28">
        <f>98+108</f>
        <v>206</v>
      </c>
      <c r="E18" s="28">
        <f>102+109</f>
        <v>211</v>
      </c>
      <c r="F18" s="28">
        <v>207</v>
      </c>
      <c r="G18" s="28">
        <v>211</v>
      </c>
      <c r="H18" s="13">
        <f>126+126</f>
        <v>252</v>
      </c>
      <c r="I18" s="13">
        <f>112+117</f>
        <v>229</v>
      </c>
      <c r="J18" s="13">
        <v>307</v>
      </c>
      <c r="K18" s="13">
        <v>302</v>
      </c>
      <c r="L18" s="13">
        <v>217</v>
      </c>
      <c r="M18" s="13">
        <v>212</v>
      </c>
      <c r="N18" s="22">
        <f>152+143</f>
        <v>295</v>
      </c>
      <c r="O18" s="22">
        <f>143+154</f>
        <v>297</v>
      </c>
      <c r="P18" s="22">
        <f>256+28</f>
        <v>284</v>
      </c>
      <c r="Q18" s="13">
        <f>258+32</f>
        <v>290</v>
      </c>
      <c r="R18" s="13">
        <f>98+91</f>
        <v>189</v>
      </c>
      <c r="S18" s="13">
        <f>103+96</f>
        <v>199</v>
      </c>
      <c r="T18" s="13">
        <f>96+140</f>
        <v>236</v>
      </c>
      <c r="U18" s="13">
        <f>93+134</f>
        <v>227</v>
      </c>
      <c r="V18" s="13">
        <f>81+125</f>
        <v>206</v>
      </c>
      <c r="W18" s="17">
        <f>83+119</f>
        <v>202</v>
      </c>
      <c r="X18" s="13">
        <v>234</v>
      </c>
      <c r="Y18" s="13">
        <v>240</v>
      </c>
      <c r="Z18" s="22">
        <f t="shared" si="0"/>
        <v>2824</v>
      </c>
      <c r="AA18" s="22">
        <f t="shared" si="1"/>
        <v>2808</v>
      </c>
      <c r="AB18" s="22">
        <f t="shared" si="2"/>
        <v>5632</v>
      </c>
      <c r="AC18" s="13">
        <v>3431</v>
      </c>
      <c r="AD18" s="26">
        <f t="shared" si="3"/>
        <v>39.08025568181818</v>
      </c>
      <c r="AE18"/>
      <c r="AH18"/>
      <c r="AK18"/>
    </row>
    <row r="19" spans="1:37">
      <c r="A19" s="34" t="s">
        <v>76</v>
      </c>
      <c r="B19" s="39">
        <v>0</v>
      </c>
      <c r="C19" s="39">
        <v>0</v>
      </c>
      <c r="D19" s="31">
        <v>0</v>
      </c>
      <c r="E19" s="31">
        <v>0</v>
      </c>
      <c r="F19" s="31">
        <v>0</v>
      </c>
      <c r="G19" s="31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24">
        <v>0</v>
      </c>
      <c r="O19" s="24">
        <v>0</v>
      </c>
      <c r="P19" s="24">
        <v>0</v>
      </c>
      <c r="Q19" s="14">
        <v>0</v>
      </c>
      <c r="R19" s="13">
        <v>2</v>
      </c>
      <c r="S19" s="13">
        <v>2</v>
      </c>
      <c r="T19" s="13">
        <f>11</f>
        <v>11</v>
      </c>
      <c r="U19" s="13">
        <v>11</v>
      </c>
      <c r="V19" s="13">
        <v>5</v>
      </c>
      <c r="W19" s="17">
        <v>5</v>
      </c>
      <c r="X19" s="14">
        <v>19</v>
      </c>
      <c r="Y19" s="14">
        <v>9</v>
      </c>
      <c r="Z19" s="22">
        <f t="shared" si="0"/>
        <v>37</v>
      </c>
      <c r="AA19" s="22">
        <f t="shared" si="1"/>
        <v>27</v>
      </c>
      <c r="AB19" s="22">
        <f t="shared" si="2"/>
        <v>64</v>
      </c>
      <c r="AC19" s="13">
        <v>25</v>
      </c>
      <c r="AD19" s="26">
        <f t="shared" si="3"/>
        <v>60.9375</v>
      </c>
      <c r="AE19"/>
      <c r="AH19"/>
      <c r="AK19"/>
    </row>
    <row r="20" spans="1:37">
      <c r="A20" s="34" t="s">
        <v>77</v>
      </c>
      <c r="B20" s="28">
        <f>168+143</f>
        <v>311</v>
      </c>
      <c r="C20" s="28">
        <f>168+143</f>
        <v>311</v>
      </c>
      <c r="D20" s="28">
        <v>334</v>
      </c>
      <c r="E20" s="28">
        <v>334</v>
      </c>
      <c r="F20" s="28">
        <v>338</v>
      </c>
      <c r="G20" s="28">
        <v>338</v>
      </c>
      <c r="H20" s="13">
        <v>350</v>
      </c>
      <c r="I20" s="13">
        <v>350</v>
      </c>
      <c r="J20" s="13">
        <v>348</v>
      </c>
      <c r="K20" s="13">
        <v>348</v>
      </c>
      <c r="L20" s="13">
        <f>136+212</f>
        <v>348</v>
      </c>
      <c r="M20" s="13">
        <f>136+212</f>
        <v>348</v>
      </c>
      <c r="N20" s="22">
        <f>326+1</f>
        <v>327</v>
      </c>
      <c r="O20" s="22">
        <v>326</v>
      </c>
      <c r="P20" s="22">
        <v>365</v>
      </c>
      <c r="Q20" s="13">
        <v>362</v>
      </c>
      <c r="R20" s="13">
        <v>333</v>
      </c>
      <c r="S20" s="13">
        <v>333</v>
      </c>
      <c r="T20" s="13">
        <f>356</f>
        <v>356</v>
      </c>
      <c r="U20" s="13">
        <v>356</v>
      </c>
      <c r="V20" s="13">
        <v>365</v>
      </c>
      <c r="W20" s="17">
        <v>365</v>
      </c>
      <c r="X20" s="13">
        <f>145+223</f>
        <v>368</v>
      </c>
      <c r="Y20" s="13">
        <f>145+223</f>
        <v>368</v>
      </c>
      <c r="Z20" s="22">
        <f t="shared" si="0"/>
        <v>4143</v>
      </c>
      <c r="AA20" s="22">
        <f t="shared" si="1"/>
        <v>4139</v>
      </c>
      <c r="AB20" s="22">
        <f t="shared" si="2"/>
        <v>8282</v>
      </c>
      <c r="AC20" s="13">
        <v>7622</v>
      </c>
      <c r="AD20" s="26">
        <f t="shared" si="3"/>
        <v>7.9690895918860178</v>
      </c>
      <c r="AE20"/>
      <c r="AH20"/>
      <c r="AK20"/>
    </row>
    <row r="21" spans="1:37">
      <c r="A21" s="34" t="s">
        <v>78</v>
      </c>
      <c r="B21" s="31">
        <v>3</v>
      </c>
      <c r="C21" s="28">
        <v>3</v>
      </c>
      <c r="D21" s="31">
        <v>2</v>
      </c>
      <c r="E21" s="28">
        <v>2</v>
      </c>
      <c r="F21" s="31">
        <v>1</v>
      </c>
      <c r="G21" s="31">
        <v>1</v>
      </c>
      <c r="H21" s="13">
        <v>1</v>
      </c>
      <c r="I21" s="13">
        <v>1</v>
      </c>
      <c r="J21" s="13">
        <v>3</v>
      </c>
      <c r="K21" s="13">
        <v>3</v>
      </c>
      <c r="L21" s="13">
        <v>1</v>
      </c>
      <c r="M21" s="13">
        <v>1</v>
      </c>
      <c r="N21" s="21">
        <v>0</v>
      </c>
      <c r="O21" s="21">
        <v>0</v>
      </c>
      <c r="P21" s="21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21">
        <v>0</v>
      </c>
      <c r="X21" s="13">
        <v>1</v>
      </c>
      <c r="Y21" s="13">
        <v>1</v>
      </c>
      <c r="Z21" s="22">
        <f t="shared" si="0"/>
        <v>12</v>
      </c>
      <c r="AA21" s="22">
        <f t="shared" si="1"/>
        <v>12</v>
      </c>
      <c r="AB21" s="22">
        <f t="shared" si="2"/>
        <v>24</v>
      </c>
      <c r="AC21" s="13">
        <v>35</v>
      </c>
      <c r="AD21" s="26">
        <f t="shared" si="3"/>
        <v>-45.833333333333336</v>
      </c>
      <c r="AE21"/>
      <c r="AH21"/>
      <c r="AK21"/>
    </row>
    <row r="22" spans="1:37">
      <c r="A22" s="34" t="s">
        <v>79</v>
      </c>
      <c r="B22" s="28">
        <f>35+23</f>
        <v>58</v>
      </c>
      <c r="C22" s="28">
        <v>57</v>
      </c>
      <c r="D22" s="28">
        <f>36+29</f>
        <v>65</v>
      </c>
      <c r="E22" s="28">
        <f>36+29</f>
        <v>65</v>
      </c>
      <c r="F22" s="28">
        <f>36+28</f>
        <v>64</v>
      </c>
      <c r="G22" s="28">
        <f>36+28</f>
        <v>64</v>
      </c>
      <c r="H22" s="13">
        <v>54</v>
      </c>
      <c r="I22" s="13">
        <v>54</v>
      </c>
      <c r="J22" s="13">
        <f>44+29</f>
        <v>73</v>
      </c>
      <c r="K22" s="13">
        <f>44+30</f>
        <v>74</v>
      </c>
      <c r="L22" s="13">
        <f>41+25</f>
        <v>66</v>
      </c>
      <c r="M22" s="13">
        <f>41+24</f>
        <v>65</v>
      </c>
      <c r="N22" s="22">
        <f>50+27</f>
        <v>77</v>
      </c>
      <c r="O22" s="22">
        <f>50+28</f>
        <v>78</v>
      </c>
      <c r="P22" s="22">
        <f>53+22</f>
        <v>75</v>
      </c>
      <c r="Q22" s="13">
        <f>53+20</f>
        <v>73</v>
      </c>
      <c r="R22" s="13">
        <v>87</v>
      </c>
      <c r="S22" s="13">
        <v>87</v>
      </c>
      <c r="T22" s="13">
        <f>56+59</f>
        <v>115</v>
      </c>
      <c r="U22" s="13">
        <f>56+52</f>
        <v>108</v>
      </c>
      <c r="V22" s="13">
        <f>51+27</f>
        <v>78</v>
      </c>
      <c r="W22" s="17">
        <v>78</v>
      </c>
      <c r="X22" s="13">
        <f>53+26</f>
        <v>79</v>
      </c>
      <c r="Y22" s="13">
        <f>53+40</f>
        <v>93</v>
      </c>
      <c r="Z22" s="22">
        <f t="shared" si="0"/>
        <v>891</v>
      </c>
      <c r="AA22" s="22">
        <f t="shared" si="1"/>
        <v>896</v>
      </c>
      <c r="AB22" s="22">
        <f t="shared" si="2"/>
        <v>1787</v>
      </c>
      <c r="AC22" s="13">
        <v>1109</v>
      </c>
      <c r="AD22" s="26">
        <f t="shared" si="3"/>
        <v>37.940682708449913</v>
      </c>
      <c r="AE22"/>
      <c r="AH22"/>
      <c r="AK22"/>
    </row>
    <row r="23" spans="1:37">
      <c r="A23" s="34" t="s">
        <v>80</v>
      </c>
      <c r="B23" s="29">
        <f>0</f>
        <v>0</v>
      </c>
      <c r="C23" s="29">
        <v>0</v>
      </c>
      <c r="D23" s="31">
        <v>0</v>
      </c>
      <c r="E23" s="31">
        <v>0</v>
      </c>
      <c r="F23" s="31">
        <f>0</f>
        <v>0</v>
      </c>
      <c r="G23" s="31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21">
        <v>0</v>
      </c>
      <c r="O23" s="21">
        <v>0</v>
      </c>
      <c r="P23" s="21">
        <v>2</v>
      </c>
      <c r="Q23" s="16">
        <v>3</v>
      </c>
      <c r="R23" s="16">
        <v>4</v>
      </c>
      <c r="S23" s="16">
        <v>0</v>
      </c>
      <c r="T23" s="16">
        <v>25</v>
      </c>
      <c r="U23" s="16">
        <v>32</v>
      </c>
      <c r="V23" s="16">
        <v>15</v>
      </c>
      <c r="W23" s="21">
        <v>14</v>
      </c>
      <c r="X23" s="14">
        <v>24</v>
      </c>
      <c r="Y23" s="14">
        <v>11</v>
      </c>
      <c r="Z23" s="22">
        <f t="shared" si="0"/>
        <v>70</v>
      </c>
      <c r="AA23" s="22">
        <f t="shared" si="1"/>
        <v>60</v>
      </c>
      <c r="AB23" s="21">
        <f t="shared" si="2"/>
        <v>130</v>
      </c>
      <c r="AC23" s="13">
        <v>177</v>
      </c>
      <c r="AD23" s="26">
        <f t="shared" si="3"/>
        <v>-36.153846153846153</v>
      </c>
      <c r="AE23"/>
      <c r="AH23"/>
      <c r="AK23"/>
    </row>
    <row r="24" spans="1:37">
      <c r="A24" s="34" t="s">
        <v>34</v>
      </c>
      <c r="B24" s="28">
        <f>236+28</f>
        <v>264</v>
      </c>
      <c r="C24" s="28">
        <f>236+27</f>
        <v>263</v>
      </c>
      <c r="D24" s="28">
        <f>240+52</f>
        <v>292</v>
      </c>
      <c r="E24" s="28">
        <f>240+52</f>
        <v>292</v>
      </c>
      <c r="F24" s="28">
        <f>249+43</f>
        <v>292</v>
      </c>
      <c r="G24" s="28">
        <f>249+40</f>
        <v>289</v>
      </c>
      <c r="H24" s="13">
        <f>238+52</f>
        <v>290</v>
      </c>
      <c r="I24" s="13">
        <f>238+52</f>
        <v>290</v>
      </c>
      <c r="J24" s="13">
        <f>257+24</f>
        <v>281</v>
      </c>
      <c r="K24" s="13">
        <f>257+24</f>
        <v>281</v>
      </c>
      <c r="L24" s="13">
        <f>234+41</f>
        <v>275</v>
      </c>
      <c r="M24" s="13">
        <f>234+41</f>
        <v>275</v>
      </c>
      <c r="N24" s="22">
        <v>299</v>
      </c>
      <c r="O24" s="22">
        <v>297</v>
      </c>
      <c r="P24" s="22">
        <v>286</v>
      </c>
      <c r="Q24" s="13">
        <v>286</v>
      </c>
      <c r="R24" s="13">
        <v>286</v>
      </c>
      <c r="S24" s="13">
        <v>286</v>
      </c>
      <c r="T24" s="13">
        <f>250+40</f>
        <v>290</v>
      </c>
      <c r="U24" s="13">
        <f>250+40</f>
        <v>290</v>
      </c>
      <c r="V24" s="13">
        <f>237+30</f>
        <v>267</v>
      </c>
      <c r="W24" s="17">
        <f>232+30</f>
        <v>262</v>
      </c>
      <c r="X24" s="13">
        <f>265+159</f>
        <v>424</v>
      </c>
      <c r="Y24" s="13">
        <f>265+159</f>
        <v>424</v>
      </c>
      <c r="Z24" s="22">
        <f t="shared" si="0"/>
        <v>3546</v>
      </c>
      <c r="AA24" s="22">
        <f t="shared" si="1"/>
        <v>3535</v>
      </c>
      <c r="AB24" s="22">
        <f t="shared" si="2"/>
        <v>7081</v>
      </c>
      <c r="AC24" s="13">
        <v>7330</v>
      </c>
      <c r="AD24" s="26">
        <f t="shared" si="3"/>
        <v>-3.5164524784634938</v>
      </c>
      <c r="AE24"/>
      <c r="AH24"/>
      <c r="AK24"/>
    </row>
    <row r="25" spans="1:37">
      <c r="A25" s="34" t="s">
        <v>81</v>
      </c>
      <c r="B25" s="28">
        <f>51+15</f>
        <v>66</v>
      </c>
      <c r="C25" s="28">
        <f>50+15</f>
        <v>65</v>
      </c>
      <c r="D25" s="28">
        <f>47+2</f>
        <v>49</v>
      </c>
      <c r="E25" s="28">
        <v>48</v>
      </c>
      <c r="F25" s="28">
        <f>47+16</f>
        <v>63</v>
      </c>
      <c r="G25" s="28">
        <f>47+14</f>
        <v>61</v>
      </c>
      <c r="H25" s="13">
        <f>51+17</f>
        <v>68</v>
      </c>
      <c r="I25" s="13">
        <f>51+15</f>
        <v>66</v>
      </c>
      <c r="J25" s="13">
        <f>52+16</f>
        <v>68</v>
      </c>
      <c r="K25" s="13">
        <f>52+15</f>
        <v>67</v>
      </c>
      <c r="L25" s="13">
        <v>77</v>
      </c>
      <c r="M25" s="13">
        <v>76</v>
      </c>
      <c r="N25" s="22">
        <f>52+36</f>
        <v>88</v>
      </c>
      <c r="O25" s="22">
        <f>52+37</f>
        <v>89</v>
      </c>
      <c r="P25" s="22">
        <f>58+33</f>
        <v>91</v>
      </c>
      <c r="Q25" s="13">
        <f>57+34</f>
        <v>91</v>
      </c>
      <c r="R25" s="13">
        <v>59</v>
      </c>
      <c r="S25" s="13">
        <v>59</v>
      </c>
      <c r="T25" s="13">
        <f>51+25</f>
        <v>76</v>
      </c>
      <c r="U25" s="13">
        <f>51+25</f>
        <v>76</v>
      </c>
      <c r="V25" s="13">
        <v>86</v>
      </c>
      <c r="W25" s="17">
        <v>84</v>
      </c>
      <c r="X25" s="13">
        <v>100</v>
      </c>
      <c r="Y25" s="13">
        <v>100</v>
      </c>
      <c r="Z25" s="22">
        <f t="shared" si="0"/>
        <v>891</v>
      </c>
      <c r="AA25" s="22">
        <f t="shared" si="1"/>
        <v>882</v>
      </c>
      <c r="AB25" s="22">
        <f t="shared" si="2"/>
        <v>1773</v>
      </c>
      <c r="AC25" s="13">
        <v>1766</v>
      </c>
      <c r="AD25" s="26">
        <f t="shared" si="3"/>
        <v>0.39481105470953187</v>
      </c>
      <c r="AE25"/>
      <c r="AH25"/>
      <c r="AK25"/>
    </row>
    <row r="26" spans="1:37">
      <c r="A26" s="34" t="s">
        <v>82</v>
      </c>
      <c r="B26" s="28">
        <v>3</v>
      </c>
      <c r="C26" s="31">
        <v>1</v>
      </c>
      <c r="D26" s="31">
        <v>17</v>
      </c>
      <c r="E26" s="31">
        <v>17</v>
      </c>
      <c r="F26" s="28">
        <v>4</v>
      </c>
      <c r="G26" s="31">
        <v>7</v>
      </c>
      <c r="H26" s="13">
        <v>1</v>
      </c>
      <c r="I26" s="13">
        <v>3</v>
      </c>
      <c r="J26" s="13">
        <v>2</v>
      </c>
      <c r="K26" s="13">
        <v>2</v>
      </c>
      <c r="L26" s="14">
        <v>0</v>
      </c>
      <c r="M26" s="14">
        <v>0</v>
      </c>
      <c r="N26" s="22">
        <v>7</v>
      </c>
      <c r="O26" s="22">
        <v>6</v>
      </c>
      <c r="P26" s="22">
        <v>16</v>
      </c>
      <c r="Q26" s="13">
        <v>16</v>
      </c>
      <c r="R26" s="13">
        <v>12</v>
      </c>
      <c r="S26" s="13">
        <v>13</v>
      </c>
      <c r="T26" s="13">
        <f>17+9</f>
        <v>26</v>
      </c>
      <c r="U26" s="13">
        <f>17+7</f>
        <v>24</v>
      </c>
      <c r="V26" s="16">
        <v>12</v>
      </c>
      <c r="W26" s="21">
        <v>14</v>
      </c>
      <c r="X26" s="16">
        <v>16</v>
      </c>
      <c r="Y26" s="16">
        <v>15</v>
      </c>
      <c r="Z26" s="22">
        <f t="shared" si="0"/>
        <v>116</v>
      </c>
      <c r="AA26" s="22">
        <f t="shared" si="1"/>
        <v>118</v>
      </c>
      <c r="AB26" s="22">
        <f t="shared" si="2"/>
        <v>234</v>
      </c>
      <c r="AC26" s="13">
        <v>130</v>
      </c>
      <c r="AD26" s="26">
        <f t="shared" si="3"/>
        <v>44.444444444444443</v>
      </c>
      <c r="AE26"/>
      <c r="AH26"/>
      <c r="AK26"/>
    </row>
    <row r="27" spans="1:37">
      <c r="A27" s="34" t="s">
        <v>37</v>
      </c>
      <c r="B27" s="28">
        <f>45+36</f>
        <v>81</v>
      </c>
      <c r="C27" s="28">
        <f>81</f>
        <v>81</v>
      </c>
      <c r="D27" s="28">
        <f>56+9</f>
        <v>65</v>
      </c>
      <c r="E27" s="28">
        <f>56+9</f>
        <v>65</v>
      </c>
      <c r="F27" s="28">
        <f>57+19</f>
        <v>76</v>
      </c>
      <c r="G27" s="28">
        <f>57+19</f>
        <v>76</v>
      </c>
      <c r="H27" s="13">
        <f>58+14</f>
        <v>72</v>
      </c>
      <c r="I27" s="13">
        <v>72</v>
      </c>
      <c r="J27" s="13">
        <f>62+18</f>
        <v>80</v>
      </c>
      <c r="K27" s="13">
        <v>80</v>
      </c>
      <c r="L27" s="13">
        <f>58+28</f>
        <v>86</v>
      </c>
      <c r="M27" s="13">
        <v>86</v>
      </c>
      <c r="N27" s="22">
        <f>58+28</f>
        <v>86</v>
      </c>
      <c r="O27" s="22">
        <f>58+28</f>
        <v>86</v>
      </c>
      <c r="P27" s="22">
        <f>53+13</f>
        <v>66</v>
      </c>
      <c r="Q27" s="13">
        <f>54+14</f>
        <v>68</v>
      </c>
      <c r="R27" s="13">
        <f>49+22</f>
        <v>71</v>
      </c>
      <c r="S27" s="13">
        <f>49+21</f>
        <v>70</v>
      </c>
      <c r="T27" s="13">
        <f>31+16</f>
        <v>47</v>
      </c>
      <c r="U27" s="13">
        <v>47</v>
      </c>
      <c r="V27" s="13">
        <f>39</f>
        <v>39</v>
      </c>
      <c r="W27" s="17">
        <v>39</v>
      </c>
      <c r="X27" s="13">
        <f>28+26</f>
        <v>54</v>
      </c>
      <c r="Y27" s="13">
        <f>28+26</f>
        <v>54</v>
      </c>
      <c r="Z27" s="22">
        <f t="shared" si="0"/>
        <v>823</v>
      </c>
      <c r="AA27" s="22">
        <f t="shared" si="1"/>
        <v>824</v>
      </c>
      <c r="AB27" s="22">
        <f t="shared" si="2"/>
        <v>1647</v>
      </c>
      <c r="AC27" s="13">
        <v>1124</v>
      </c>
      <c r="AD27" s="26">
        <f t="shared" si="3"/>
        <v>31.754705525197327</v>
      </c>
      <c r="AE27"/>
      <c r="AH27"/>
      <c r="AK27"/>
    </row>
    <row r="28" spans="1:37">
      <c r="A28" s="34" t="s">
        <v>38</v>
      </c>
      <c r="B28" s="28">
        <f>180+20</f>
        <v>200</v>
      </c>
      <c r="C28" s="28">
        <f>180+20</f>
        <v>200</v>
      </c>
      <c r="D28" s="28">
        <f>217+20</f>
        <v>237</v>
      </c>
      <c r="E28" s="28">
        <f>217+20</f>
        <v>237</v>
      </c>
      <c r="F28" s="28">
        <f>236+49</f>
        <v>285</v>
      </c>
      <c r="G28" s="28">
        <f>236+49</f>
        <v>285</v>
      </c>
      <c r="H28" s="13">
        <f>242+37</f>
        <v>279</v>
      </c>
      <c r="I28" s="13">
        <f>242+37</f>
        <v>279</v>
      </c>
      <c r="J28" s="13">
        <f>202+57</f>
        <v>259</v>
      </c>
      <c r="K28" s="13">
        <v>259</v>
      </c>
      <c r="L28" s="13">
        <v>254</v>
      </c>
      <c r="M28" s="13">
        <v>254</v>
      </c>
      <c r="N28" s="22">
        <f>238+63</f>
        <v>301</v>
      </c>
      <c r="O28" s="22">
        <f>238+63</f>
        <v>301</v>
      </c>
      <c r="P28" s="22">
        <v>302</v>
      </c>
      <c r="Q28" s="13">
        <v>302</v>
      </c>
      <c r="R28" s="13"/>
      <c r="S28" s="13"/>
      <c r="T28" s="13">
        <f>244+81</f>
        <v>325</v>
      </c>
      <c r="U28" s="13">
        <f>224+81</f>
        <v>305</v>
      </c>
      <c r="V28" s="13">
        <v>272</v>
      </c>
      <c r="W28" s="17">
        <v>272</v>
      </c>
      <c r="X28" s="13">
        <v>310</v>
      </c>
      <c r="Y28" s="13">
        <v>310</v>
      </c>
      <c r="Z28" s="22">
        <f t="shared" si="0"/>
        <v>3024</v>
      </c>
      <c r="AA28" s="22">
        <f t="shared" si="1"/>
        <v>3004</v>
      </c>
      <c r="AB28" s="22">
        <f t="shared" si="2"/>
        <v>6028</v>
      </c>
      <c r="AC28" s="13">
        <v>4362</v>
      </c>
      <c r="AD28" s="26">
        <f t="shared" si="3"/>
        <v>27.637690776376907</v>
      </c>
      <c r="AE28"/>
      <c r="AH28"/>
      <c r="AK28"/>
    </row>
    <row r="29" spans="1:37">
      <c r="A29" s="34" t="s">
        <v>39</v>
      </c>
      <c r="B29" s="28">
        <v>70</v>
      </c>
      <c r="C29" s="28">
        <v>71</v>
      </c>
      <c r="D29" s="28">
        <f>84+13</f>
        <v>97</v>
      </c>
      <c r="E29" s="28">
        <f>84+13</f>
        <v>97</v>
      </c>
      <c r="F29" s="28">
        <f>81+55</f>
        <v>136</v>
      </c>
      <c r="G29" s="28">
        <f>81+55</f>
        <v>136</v>
      </c>
      <c r="H29" s="13">
        <f>84+32</f>
        <v>116</v>
      </c>
      <c r="I29" s="13">
        <f>84+32</f>
        <v>116</v>
      </c>
      <c r="J29" s="13">
        <f>68+20</f>
        <v>88</v>
      </c>
      <c r="K29" s="13">
        <f>69+19</f>
        <v>88</v>
      </c>
      <c r="L29" s="13">
        <f>71+43</f>
        <v>114</v>
      </c>
      <c r="M29" s="13">
        <f>71+44</f>
        <v>115</v>
      </c>
      <c r="N29" s="22">
        <f>56+12</f>
        <v>68</v>
      </c>
      <c r="O29" s="22">
        <f>57+12</f>
        <v>69</v>
      </c>
      <c r="P29" s="22">
        <f>62+14</f>
        <v>76</v>
      </c>
      <c r="Q29" s="13">
        <f>61+14</f>
        <v>75</v>
      </c>
      <c r="R29" s="13">
        <v>81</v>
      </c>
      <c r="S29" s="13">
        <v>80</v>
      </c>
      <c r="T29" s="13">
        <f>62+27</f>
        <v>89</v>
      </c>
      <c r="U29" s="13">
        <v>89</v>
      </c>
      <c r="V29" s="13">
        <f>55+40</f>
        <v>95</v>
      </c>
      <c r="W29" s="17">
        <v>95</v>
      </c>
      <c r="X29" s="13">
        <f>59+49</f>
        <v>108</v>
      </c>
      <c r="Y29" s="13">
        <f>59+49</f>
        <v>108</v>
      </c>
      <c r="Z29" s="22">
        <f t="shared" si="0"/>
        <v>1138</v>
      </c>
      <c r="AA29" s="22">
        <f t="shared" si="1"/>
        <v>1139</v>
      </c>
      <c r="AB29" s="22">
        <f t="shared" si="2"/>
        <v>2277</v>
      </c>
      <c r="AC29" s="13">
        <v>1866</v>
      </c>
      <c r="AD29" s="26">
        <f t="shared" si="3"/>
        <v>18.050065876152832</v>
      </c>
      <c r="AE29"/>
      <c r="AH29"/>
      <c r="AK29"/>
    </row>
    <row r="30" spans="1:37">
      <c r="A30" s="34" t="s">
        <v>40</v>
      </c>
      <c r="B30" s="28">
        <v>1</v>
      </c>
      <c r="C30" s="28">
        <v>0</v>
      </c>
      <c r="D30" s="29">
        <v>0</v>
      </c>
      <c r="E30" s="29">
        <v>0</v>
      </c>
      <c r="F30" s="31">
        <v>0</v>
      </c>
      <c r="G30" s="31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24">
        <v>0</v>
      </c>
      <c r="O30" s="24">
        <v>0</v>
      </c>
      <c r="P30" s="22">
        <v>1</v>
      </c>
      <c r="Q30" s="13">
        <v>1</v>
      </c>
      <c r="R30" s="13">
        <v>1</v>
      </c>
      <c r="S30" s="13">
        <v>1</v>
      </c>
      <c r="T30" s="13">
        <v>10</v>
      </c>
      <c r="U30" s="13">
        <v>10</v>
      </c>
      <c r="V30" s="13">
        <v>14</v>
      </c>
      <c r="W30" s="17">
        <v>14</v>
      </c>
      <c r="X30" s="13">
        <v>6</v>
      </c>
      <c r="Y30" s="13">
        <v>6</v>
      </c>
      <c r="Z30" s="22">
        <f t="shared" si="0"/>
        <v>33</v>
      </c>
      <c r="AA30" s="22">
        <f t="shared" si="1"/>
        <v>32</v>
      </c>
      <c r="AB30" s="22">
        <f t="shared" si="2"/>
        <v>65</v>
      </c>
      <c r="AC30" s="13">
        <v>86</v>
      </c>
      <c r="AD30" s="26">
        <f t="shared" si="3"/>
        <v>-32.307692307692307</v>
      </c>
      <c r="AE30"/>
      <c r="AH30"/>
      <c r="AK30"/>
    </row>
    <row r="31" spans="1:37">
      <c r="A31" s="34" t="s">
        <v>41</v>
      </c>
      <c r="B31" s="28">
        <f>74+49</f>
        <v>123</v>
      </c>
      <c r="C31" s="28">
        <f>74+49</f>
        <v>123</v>
      </c>
      <c r="D31" s="28">
        <f>77+29</f>
        <v>106</v>
      </c>
      <c r="E31" s="28">
        <f>77+29</f>
        <v>106</v>
      </c>
      <c r="F31" s="28">
        <f>88+52</f>
        <v>140</v>
      </c>
      <c r="G31" s="28">
        <f>88+52</f>
        <v>140</v>
      </c>
      <c r="H31" s="13">
        <f>78+29</f>
        <v>107</v>
      </c>
      <c r="I31" s="13">
        <f>78+29</f>
        <v>107</v>
      </c>
      <c r="J31" s="13">
        <f>87+68</f>
        <v>155</v>
      </c>
      <c r="K31" s="13">
        <v>155</v>
      </c>
      <c r="L31" s="13">
        <f>71+40</f>
        <v>111</v>
      </c>
      <c r="M31" s="13">
        <f>71+40</f>
        <v>111</v>
      </c>
      <c r="N31" s="22">
        <f>61+33</f>
        <v>94</v>
      </c>
      <c r="O31" s="22">
        <f>61+28</f>
        <v>89</v>
      </c>
      <c r="P31" s="22">
        <f>80+45</f>
        <v>125</v>
      </c>
      <c r="Q31" s="13">
        <f>80+45</f>
        <v>125</v>
      </c>
      <c r="R31" s="13">
        <f>95+43</f>
        <v>138</v>
      </c>
      <c r="S31" s="13">
        <f>95+43</f>
        <v>138</v>
      </c>
      <c r="T31" s="13">
        <v>155</v>
      </c>
      <c r="U31" s="13">
        <v>155</v>
      </c>
      <c r="V31" s="13">
        <v>107</v>
      </c>
      <c r="W31" s="17">
        <v>107</v>
      </c>
      <c r="X31" s="13">
        <f>67+52</f>
        <v>119</v>
      </c>
      <c r="Y31" s="13">
        <f>67+52</f>
        <v>119</v>
      </c>
      <c r="Z31" s="22">
        <f t="shared" si="0"/>
        <v>1480</v>
      </c>
      <c r="AA31" s="22">
        <f t="shared" si="1"/>
        <v>1475</v>
      </c>
      <c r="AB31" s="22">
        <f t="shared" si="2"/>
        <v>2955</v>
      </c>
      <c r="AC31" s="13">
        <v>2976</v>
      </c>
      <c r="AD31" s="26">
        <f t="shared" si="3"/>
        <v>-0.71065989847715738</v>
      </c>
      <c r="AE31"/>
      <c r="AH31"/>
      <c r="AK31"/>
    </row>
    <row r="32" spans="1:37">
      <c r="A32" s="34" t="s">
        <v>42</v>
      </c>
      <c r="B32" s="39">
        <v>0</v>
      </c>
      <c r="C32" s="39">
        <v>0</v>
      </c>
      <c r="D32" s="31">
        <v>1</v>
      </c>
      <c r="E32" s="31">
        <v>1</v>
      </c>
      <c r="F32" s="31">
        <v>0</v>
      </c>
      <c r="G32" s="31">
        <v>0</v>
      </c>
      <c r="H32" s="16">
        <v>1</v>
      </c>
      <c r="I32" s="16">
        <v>1</v>
      </c>
      <c r="J32" s="16">
        <v>0</v>
      </c>
      <c r="K32" s="16">
        <v>0</v>
      </c>
      <c r="L32" s="16">
        <v>0</v>
      </c>
      <c r="M32" s="16">
        <v>0</v>
      </c>
      <c r="N32" s="21">
        <v>0</v>
      </c>
      <c r="O32" s="21">
        <v>0</v>
      </c>
      <c r="P32" s="21">
        <v>0</v>
      </c>
      <c r="Q32" s="16">
        <v>0</v>
      </c>
      <c r="R32" s="16"/>
      <c r="S32" s="16"/>
      <c r="T32" s="16">
        <v>12</v>
      </c>
      <c r="U32" s="16">
        <v>12</v>
      </c>
      <c r="V32" s="16">
        <v>17</v>
      </c>
      <c r="W32" s="21">
        <v>17</v>
      </c>
      <c r="X32" s="14">
        <v>9</v>
      </c>
      <c r="Y32" s="14">
        <v>9</v>
      </c>
      <c r="Z32" s="24">
        <f t="shared" si="0"/>
        <v>40</v>
      </c>
      <c r="AA32" s="24">
        <f t="shared" si="1"/>
        <v>40</v>
      </c>
      <c r="AB32" s="21">
        <f t="shared" si="2"/>
        <v>80</v>
      </c>
      <c r="AC32" s="13">
        <v>28</v>
      </c>
      <c r="AD32" s="24">
        <v>0</v>
      </c>
      <c r="AE32"/>
      <c r="AH32"/>
      <c r="AK32"/>
    </row>
    <row r="33" spans="1:37">
      <c r="A33" s="34" t="s">
        <v>43</v>
      </c>
      <c r="B33" s="28">
        <f>86+28</f>
        <v>114</v>
      </c>
      <c r="C33" s="28">
        <f>86+28</f>
        <v>114</v>
      </c>
      <c r="D33" s="28"/>
      <c r="E33" s="28"/>
      <c r="F33" s="28">
        <f>104+17</f>
        <v>121</v>
      </c>
      <c r="G33" s="28">
        <f>104+17</f>
        <v>121</v>
      </c>
      <c r="H33" s="13">
        <f>88+15</f>
        <v>103</v>
      </c>
      <c r="I33" s="13">
        <v>103</v>
      </c>
      <c r="J33" s="13">
        <f>93+21</f>
        <v>114</v>
      </c>
      <c r="K33" s="13">
        <v>114</v>
      </c>
      <c r="L33" s="13">
        <f>93+21</f>
        <v>114</v>
      </c>
      <c r="M33" s="13">
        <f>93+21</f>
        <v>114</v>
      </c>
      <c r="N33" s="22">
        <f>49+7</f>
        <v>56</v>
      </c>
      <c r="O33" s="22">
        <f>49+8</f>
        <v>57</v>
      </c>
      <c r="P33" s="22">
        <f>107+15</f>
        <v>122</v>
      </c>
      <c r="Q33" s="13">
        <f>107+15</f>
        <v>122</v>
      </c>
      <c r="R33" s="13">
        <f>107+21</f>
        <v>128</v>
      </c>
      <c r="S33" s="13">
        <v>128</v>
      </c>
      <c r="T33" s="13">
        <f>106+10</f>
        <v>116</v>
      </c>
      <c r="U33" s="13">
        <v>116</v>
      </c>
      <c r="V33" s="13">
        <f>107+42</f>
        <v>149</v>
      </c>
      <c r="W33" s="17">
        <v>149</v>
      </c>
      <c r="X33" s="13">
        <f>104+42</f>
        <v>146</v>
      </c>
      <c r="Y33" s="13">
        <f>104+42</f>
        <v>146</v>
      </c>
      <c r="Z33" s="22">
        <f t="shared" si="0"/>
        <v>1283</v>
      </c>
      <c r="AA33" s="22">
        <f t="shared" si="1"/>
        <v>1284</v>
      </c>
      <c r="AB33" s="22">
        <f t="shared" si="2"/>
        <v>2567</v>
      </c>
      <c r="AC33" s="13">
        <v>1258</v>
      </c>
      <c r="AD33" s="26">
        <f t="shared" si="3"/>
        <v>50.993377483443709</v>
      </c>
      <c r="AE33"/>
      <c r="AH33"/>
      <c r="AK33"/>
    </row>
    <row r="34" spans="1:37">
      <c r="A34" s="34" t="s">
        <v>44</v>
      </c>
      <c r="B34" s="28">
        <f>14+44</f>
        <v>58</v>
      </c>
      <c r="C34" s="28">
        <f>14+44</f>
        <v>58</v>
      </c>
      <c r="D34" s="28">
        <v>17</v>
      </c>
      <c r="E34" s="28">
        <v>17</v>
      </c>
      <c r="F34" s="28">
        <f>30+15</f>
        <v>45</v>
      </c>
      <c r="G34" s="28">
        <f>30+15</f>
        <v>45</v>
      </c>
      <c r="H34" s="13">
        <f>11+32</f>
        <v>43</v>
      </c>
      <c r="I34" s="13">
        <v>43</v>
      </c>
      <c r="J34" s="13">
        <f>11+37</f>
        <v>48</v>
      </c>
      <c r="K34" s="13">
        <v>48</v>
      </c>
      <c r="L34" s="13">
        <v>29</v>
      </c>
      <c r="M34" s="13">
        <v>29</v>
      </c>
      <c r="N34" s="22">
        <v>17</v>
      </c>
      <c r="O34" s="22">
        <v>17</v>
      </c>
      <c r="P34" s="22">
        <v>9</v>
      </c>
      <c r="Q34" s="13">
        <v>9</v>
      </c>
      <c r="R34" s="13">
        <v>28</v>
      </c>
      <c r="S34" s="13">
        <v>28</v>
      </c>
      <c r="T34" s="13">
        <v>24</v>
      </c>
      <c r="U34" s="13">
        <v>24</v>
      </c>
      <c r="V34" s="13">
        <v>15</v>
      </c>
      <c r="W34" s="17">
        <v>15</v>
      </c>
      <c r="X34" s="13">
        <v>19</v>
      </c>
      <c r="Y34" s="13">
        <v>19</v>
      </c>
      <c r="Z34" s="22">
        <f t="shared" si="0"/>
        <v>352</v>
      </c>
      <c r="AA34" s="22">
        <f t="shared" si="1"/>
        <v>352</v>
      </c>
      <c r="AB34" s="22">
        <f t="shared" si="2"/>
        <v>704</v>
      </c>
      <c r="AC34" s="13">
        <v>574</v>
      </c>
      <c r="AD34" s="26">
        <f t="shared" si="3"/>
        <v>18.46590909090909</v>
      </c>
      <c r="AE34"/>
      <c r="AH34"/>
      <c r="AK34"/>
    </row>
    <row r="35" spans="1:37" s="11" customFormat="1">
      <c r="A35" s="34" t="s">
        <v>45</v>
      </c>
      <c r="B35" s="28"/>
      <c r="C35" s="28"/>
      <c r="D35" s="28"/>
      <c r="E35" s="28"/>
      <c r="F35" s="28"/>
      <c r="G35" s="28"/>
      <c r="H35" s="13"/>
      <c r="I35" s="13"/>
      <c r="J35" s="13"/>
      <c r="K35" s="13"/>
      <c r="L35" s="13"/>
      <c r="M35" s="13"/>
      <c r="N35" s="22"/>
      <c r="O35" s="22"/>
      <c r="P35" s="22"/>
      <c r="Q35" s="13"/>
      <c r="R35" s="13"/>
      <c r="S35" s="13"/>
      <c r="T35" s="13">
        <v>9</v>
      </c>
      <c r="U35" s="13">
        <v>9</v>
      </c>
      <c r="V35" s="13">
        <v>4</v>
      </c>
      <c r="W35" s="17">
        <v>4</v>
      </c>
      <c r="X35" s="13">
        <v>5</v>
      </c>
      <c r="Y35" s="13">
        <v>5</v>
      </c>
      <c r="Z35" s="22"/>
      <c r="AA35" s="22"/>
      <c r="AB35" s="22"/>
      <c r="AC35" s="13"/>
      <c r="AD35" s="26"/>
    </row>
    <row r="36" spans="1:37">
      <c r="A36" s="34" t="s">
        <v>46</v>
      </c>
      <c r="B36" s="28"/>
      <c r="C36" s="28"/>
      <c r="D36" s="28">
        <v>30</v>
      </c>
      <c r="E36" s="28">
        <v>30</v>
      </c>
      <c r="F36" s="28">
        <f>21+8</f>
        <v>29</v>
      </c>
      <c r="G36" s="28">
        <f>21+8</f>
        <v>29</v>
      </c>
      <c r="H36" s="13"/>
      <c r="I36" s="13"/>
      <c r="J36" s="13">
        <f>18+3</f>
        <v>21</v>
      </c>
      <c r="K36" s="13">
        <v>21</v>
      </c>
      <c r="L36" s="13"/>
      <c r="M36" s="13"/>
      <c r="N36" s="22">
        <v>29</v>
      </c>
      <c r="O36" s="22">
        <v>29</v>
      </c>
      <c r="P36" s="22"/>
      <c r="Q36" s="13"/>
      <c r="R36" s="13"/>
      <c r="S36" s="13"/>
      <c r="T36" s="13">
        <f>17+13</f>
        <v>30</v>
      </c>
      <c r="U36" s="13">
        <f>17+13</f>
        <v>30</v>
      </c>
      <c r="V36" s="13">
        <v>29</v>
      </c>
      <c r="W36" s="17">
        <v>29</v>
      </c>
      <c r="X36" s="13">
        <f>14+30</f>
        <v>44</v>
      </c>
      <c r="Y36" s="13">
        <f>14+30</f>
        <v>44</v>
      </c>
      <c r="Z36" s="22">
        <f>B36+D36+F36+H36+J36+L36+N36+P36+R36+T36+V36+X36</f>
        <v>212</v>
      </c>
      <c r="AA36" s="22">
        <f>C36+E36+G36+I36+K36+M36+O36+Q36+S36+U36+W36+Y36</f>
        <v>212</v>
      </c>
      <c r="AB36" s="22">
        <f t="shared" si="2"/>
        <v>424</v>
      </c>
      <c r="AC36" s="13">
        <v>974</v>
      </c>
      <c r="AD36" s="26">
        <f t="shared" si="3"/>
        <v>-129.71698113207546</v>
      </c>
      <c r="AE36"/>
      <c r="AH36"/>
      <c r="AK36"/>
    </row>
    <row r="37" spans="1:37">
      <c r="A37" s="34" t="s">
        <v>47</v>
      </c>
      <c r="B37" s="28">
        <v>12</v>
      </c>
      <c r="C37" s="28">
        <v>12</v>
      </c>
      <c r="D37" s="28">
        <v>12</v>
      </c>
      <c r="E37" s="28">
        <v>12</v>
      </c>
      <c r="F37" s="28">
        <v>30</v>
      </c>
      <c r="G37" s="28">
        <v>30</v>
      </c>
      <c r="H37" s="13">
        <v>22</v>
      </c>
      <c r="I37" s="13">
        <v>22</v>
      </c>
      <c r="J37" s="13">
        <f>12+134</f>
        <v>146</v>
      </c>
      <c r="K37" s="13">
        <v>146</v>
      </c>
      <c r="L37" s="13">
        <v>41</v>
      </c>
      <c r="M37" s="13">
        <v>41</v>
      </c>
      <c r="N37" s="22">
        <v>34</v>
      </c>
      <c r="O37" s="22">
        <v>34</v>
      </c>
      <c r="P37" s="22">
        <v>31</v>
      </c>
      <c r="Q37" s="13">
        <v>31</v>
      </c>
      <c r="R37" s="13">
        <v>32</v>
      </c>
      <c r="S37" s="13">
        <v>32</v>
      </c>
      <c r="T37" s="13"/>
      <c r="U37" s="13"/>
      <c r="V37" s="13"/>
      <c r="W37" s="17"/>
      <c r="X37" s="13"/>
      <c r="Y37" s="13"/>
      <c r="Z37" s="22">
        <f>B37+D37+F37+H37+J37+L37+N37+P37+R37+T37+V37+X37</f>
        <v>360</v>
      </c>
      <c r="AA37" s="22">
        <f>C37+E37+G37+I37+K37+M37+O37+Q37+S37+U37+W37+Y37</f>
        <v>360</v>
      </c>
      <c r="AB37" s="22">
        <f t="shared" si="2"/>
        <v>720</v>
      </c>
      <c r="AC37" s="13">
        <v>692</v>
      </c>
      <c r="AD37" s="26">
        <f t="shared" si="3"/>
        <v>3.8888888888888888</v>
      </c>
      <c r="AE37"/>
      <c r="AH37"/>
      <c r="AK37"/>
    </row>
    <row r="38" spans="1:37" s="11" customFormat="1">
      <c r="A38" s="34" t="s">
        <v>48</v>
      </c>
      <c r="B38" s="28"/>
      <c r="C38" s="28"/>
      <c r="D38" s="28"/>
      <c r="E38" s="28"/>
      <c r="F38" s="28"/>
      <c r="G38" s="28"/>
      <c r="H38" s="13"/>
      <c r="I38" s="13"/>
      <c r="J38" s="13"/>
      <c r="K38" s="13"/>
      <c r="L38" s="13"/>
      <c r="M38" s="13"/>
      <c r="N38" s="22"/>
      <c r="O38" s="22"/>
      <c r="P38" s="22"/>
      <c r="Q38" s="13"/>
      <c r="R38" s="13"/>
      <c r="S38" s="13"/>
      <c r="T38" s="13"/>
      <c r="U38" s="13"/>
      <c r="V38" s="13"/>
      <c r="W38" s="17"/>
      <c r="X38" s="13"/>
      <c r="Y38" s="13"/>
      <c r="Z38" s="22"/>
      <c r="AA38" s="22"/>
      <c r="AB38" s="22"/>
      <c r="AC38" s="13"/>
      <c r="AD38" s="26"/>
    </row>
    <row r="39" spans="1:37">
      <c r="A39" s="34" t="s">
        <v>49</v>
      </c>
      <c r="B39" s="29">
        <v>0</v>
      </c>
      <c r="C39" s="29">
        <v>0</v>
      </c>
      <c r="D39" s="29">
        <v>0</v>
      </c>
      <c r="E39" s="29">
        <v>0</v>
      </c>
      <c r="F39" s="28">
        <v>11</v>
      </c>
      <c r="G39" s="28">
        <v>11</v>
      </c>
      <c r="H39" s="13">
        <v>44</v>
      </c>
      <c r="I39" s="13">
        <v>44</v>
      </c>
      <c r="J39" s="13">
        <v>23</v>
      </c>
      <c r="K39" s="13">
        <v>23</v>
      </c>
      <c r="L39" s="13">
        <v>13</v>
      </c>
      <c r="M39" s="13">
        <v>13</v>
      </c>
      <c r="N39" s="22">
        <v>8</v>
      </c>
      <c r="O39" s="22">
        <v>8</v>
      </c>
      <c r="P39" s="22">
        <v>11</v>
      </c>
      <c r="Q39" s="13">
        <v>11</v>
      </c>
      <c r="R39" s="13">
        <v>1</v>
      </c>
      <c r="S39" s="13">
        <v>1</v>
      </c>
      <c r="T39" s="13">
        <v>11</v>
      </c>
      <c r="U39" s="13">
        <v>11</v>
      </c>
      <c r="V39" s="13">
        <v>11</v>
      </c>
      <c r="W39" s="17">
        <v>11</v>
      </c>
      <c r="X39" s="13">
        <v>35</v>
      </c>
      <c r="Y39" s="13">
        <v>35</v>
      </c>
      <c r="Z39" s="22">
        <f>B39+D39+F39+H39+J39+L39+N39+P39+R39+T39+V39+X39</f>
        <v>168</v>
      </c>
      <c r="AA39" s="22">
        <f>C39+E39+G39+I39+K39+M39+O39+Q39+S39+U39+W39+Y39</f>
        <v>168</v>
      </c>
      <c r="AB39" s="22">
        <f t="shared" si="2"/>
        <v>336</v>
      </c>
      <c r="AC39" s="13">
        <v>660</v>
      </c>
      <c r="AD39" s="26">
        <f t="shared" si="3"/>
        <v>-96.428571428571431</v>
      </c>
      <c r="AE39"/>
      <c r="AH39"/>
      <c r="AK39"/>
    </row>
    <row r="40" spans="1:37">
      <c r="A40" s="34" t="s">
        <v>50</v>
      </c>
      <c r="B40" s="40">
        <f>SUM(B8:B39)</f>
        <v>9063</v>
      </c>
      <c r="C40" s="40">
        <f>SUM(C8:C39)</f>
        <v>8975</v>
      </c>
      <c r="D40" s="40">
        <f>SUM(D8:D39)</f>
        <v>8486</v>
      </c>
      <c r="E40" s="40">
        <f>SUM(E8:E39)</f>
        <v>8460</v>
      </c>
      <c r="F40" s="40">
        <f t="shared" ref="F40:M40" si="4">SUM(F8:F39)</f>
        <v>9582</v>
      </c>
      <c r="G40" s="40">
        <f t="shared" si="4"/>
        <v>9662</v>
      </c>
      <c r="H40" s="5">
        <f t="shared" si="4"/>
        <v>9732</v>
      </c>
      <c r="I40" s="5">
        <f t="shared" si="4"/>
        <v>9723</v>
      </c>
      <c r="J40" s="5">
        <f t="shared" si="4"/>
        <v>10239</v>
      </c>
      <c r="K40" s="5">
        <f t="shared" si="4"/>
        <v>10258</v>
      </c>
      <c r="L40" s="5">
        <f t="shared" si="4"/>
        <v>10067</v>
      </c>
      <c r="M40" s="5">
        <f t="shared" si="4"/>
        <v>10024</v>
      </c>
      <c r="N40" s="23">
        <f t="shared" ref="N40:Y40" si="5">SUM(N8:N39)</f>
        <v>10249</v>
      </c>
      <c r="O40" s="23">
        <f t="shared" si="5"/>
        <v>10258</v>
      </c>
      <c r="P40" s="23">
        <f t="shared" si="5"/>
        <v>10513</v>
      </c>
      <c r="Q40" s="42">
        <f t="shared" si="5"/>
        <v>10508</v>
      </c>
      <c r="R40" s="5">
        <f t="shared" si="5"/>
        <v>9920</v>
      </c>
      <c r="S40" s="5">
        <f t="shared" si="5"/>
        <v>9936</v>
      </c>
      <c r="T40" s="5">
        <f t="shared" si="5"/>
        <v>10602</v>
      </c>
      <c r="U40" s="5">
        <f t="shared" si="5"/>
        <v>10484</v>
      </c>
      <c r="V40" s="5">
        <f t="shared" si="5"/>
        <v>9951</v>
      </c>
      <c r="W40" s="12">
        <f t="shared" si="5"/>
        <v>9937</v>
      </c>
      <c r="X40" s="5">
        <f t="shared" si="5"/>
        <v>11546</v>
      </c>
      <c r="Y40" s="5">
        <f t="shared" si="5"/>
        <v>11502</v>
      </c>
      <c r="Z40" s="23">
        <f>B40+D40+F40+H40+J40+L40+N40+P40+R40+T40+V40+X40</f>
        <v>119950</v>
      </c>
      <c r="AA40" s="23">
        <f>C40+E40+G40+I40+K40+M40+O40+Q40+S40+U40+W40+Y40</f>
        <v>119727</v>
      </c>
      <c r="AB40" s="23">
        <f>SUM(Z40:AA40)</f>
        <v>239677</v>
      </c>
      <c r="AC40" s="5">
        <f>SUM(AC8:AC39)</f>
        <v>221238</v>
      </c>
      <c r="AD40" s="64">
        <f t="shared" si="3"/>
        <v>7.693270526583694</v>
      </c>
      <c r="AE40"/>
      <c r="AH40"/>
      <c r="AK40"/>
    </row>
    <row r="41" spans="1:37">
      <c r="U41" s="11"/>
      <c r="V41"/>
      <c r="X41" s="11"/>
      <c r="Y41"/>
      <c r="AA41" s="11"/>
      <c r="AB41"/>
      <c r="AD41" s="11"/>
      <c r="AE41"/>
      <c r="AG41" s="11"/>
      <c r="AH41"/>
      <c r="AJ41" s="11"/>
      <c r="AK41"/>
    </row>
  </sheetData>
  <mergeCells count="17">
    <mergeCell ref="V6:W6"/>
    <mergeCell ref="X6:Y6"/>
    <mergeCell ref="Z6:AB6"/>
    <mergeCell ref="P6:Q6"/>
    <mergeCell ref="R6:S6"/>
    <mergeCell ref="T6:U6"/>
    <mergeCell ref="A1:O1"/>
    <mergeCell ref="A2:O2"/>
    <mergeCell ref="A3:O3"/>
    <mergeCell ref="A4:O4"/>
    <mergeCell ref="L6:M6"/>
    <mergeCell ref="N6:O6"/>
    <mergeCell ref="B6:C6"/>
    <mergeCell ref="D6:E6"/>
    <mergeCell ref="F6:G6"/>
    <mergeCell ref="H6:I6"/>
    <mergeCell ref="J6:K6"/>
  </mergeCells>
  <pageMargins left="0.7" right="0.7" top="0.75" bottom="0.75" header="0.3" footer="0.3"/>
  <pageSetup scale="85" orientation="landscape" r:id="rId1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6"/>
  <sheetViews>
    <sheetView workbookViewId="0">
      <selection activeCell="N26" sqref="N26"/>
    </sheetView>
  </sheetViews>
  <sheetFormatPr defaultRowHeight="15"/>
  <cols>
    <col min="1" max="1" width="11.7109375" customWidth="1"/>
    <col min="2" max="2" width="14.42578125" bestFit="1" customWidth="1"/>
    <col min="3" max="3" width="9" customWidth="1"/>
    <col min="4" max="4" width="14.85546875" bestFit="1" customWidth="1"/>
    <col min="5" max="5" width="14" bestFit="1" customWidth="1"/>
    <col min="6" max="7" width="14.42578125" bestFit="1" customWidth="1"/>
    <col min="8" max="9" width="14.85546875" bestFit="1" customWidth="1"/>
    <col min="10" max="10" width="14" bestFit="1" customWidth="1"/>
    <col min="11" max="11" width="14.42578125" bestFit="1" customWidth="1"/>
    <col min="12" max="12" width="14.85546875" bestFit="1" customWidth="1"/>
    <col min="13" max="13" width="14.42578125" bestFit="1" customWidth="1"/>
    <col min="14" max="15" width="16.5703125" bestFit="1" customWidth="1"/>
    <col min="16" max="16" width="11" customWidth="1"/>
  </cols>
  <sheetData>
    <row r="1" spans="1:16" ht="18.7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 ht="18.7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16" ht="18.75">
      <c r="A3" s="99" t="s">
        <v>96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6" ht="18.75">
      <c r="A4" s="100" t="s">
        <v>62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">
      <c r="A5" s="12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2" t="s">
        <v>12</v>
      </c>
      <c r="K5" s="12" t="s">
        <v>13</v>
      </c>
      <c r="L5" s="12" t="s">
        <v>14</v>
      </c>
      <c r="M5" s="12" t="s">
        <v>15</v>
      </c>
      <c r="N5" s="12" t="s">
        <v>16</v>
      </c>
      <c r="O5" s="12" t="s">
        <v>63</v>
      </c>
      <c r="P5" s="12" t="s">
        <v>17</v>
      </c>
    </row>
    <row r="6" spans="1:16">
      <c r="A6" s="12" t="s">
        <v>18</v>
      </c>
      <c r="B6" s="46">
        <f>274196+735</f>
        <v>274931</v>
      </c>
      <c r="C6" s="46">
        <f>129531+130367</f>
        <v>259898</v>
      </c>
      <c r="D6" s="51">
        <f>268456+673</f>
        <v>269129</v>
      </c>
      <c r="E6" s="46">
        <f>321939+492</f>
        <v>322431</v>
      </c>
      <c r="F6" s="46">
        <v>316723</v>
      </c>
      <c r="G6" s="46">
        <f>314962+459</f>
        <v>315421</v>
      </c>
      <c r="H6" s="46">
        <f>351667+310</f>
        <v>351977</v>
      </c>
      <c r="I6" s="46">
        <f>361993+437</f>
        <v>362430</v>
      </c>
      <c r="J6" s="46">
        <f>325090+285</f>
        <v>325375</v>
      </c>
      <c r="K6" s="46">
        <f>341986+400</f>
        <v>342386</v>
      </c>
      <c r="L6" s="46">
        <f>334587+502</f>
        <v>335089</v>
      </c>
      <c r="M6" s="46">
        <f>388651+417</f>
        <v>389068</v>
      </c>
      <c r="N6" s="46">
        <f>SUM(B6:M6)</f>
        <v>3864858</v>
      </c>
      <c r="O6" s="46">
        <v>3320103</v>
      </c>
      <c r="P6" s="47">
        <f>(N6-O6)*100/N6</f>
        <v>14.095084476583615</v>
      </c>
    </row>
    <row r="7" spans="1:16">
      <c r="A7" s="12" t="s">
        <v>20</v>
      </c>
      <c r="B7" s="46">
        <v>238353</v>
      </c>
      <c r="C7" s="46">
        <f>222114+4523</f>
        <v>226637</v>
      </c>
      <c r="D7" s="52">
        <f>241538+2452</f>
        <v>243990</v>
      </c>
      <c r="E7" s="46">
        <f>261715+3448</f>
        <v>265163</v>
      </c>
      <c r="F7" s="46">
        <v>274528</v>
      </c>
      <c r="G7" s="46">
        <f>140447+131266</f>
        <v>271713</v>
      </c>
      <c r="H7" s="46">
        <f>282881+6721</f>
        <v>289602</v>
      </c>
      <c r="I7" s="46">
        <f>292932+5454</f>
        <v>298386</v>
      </c>
      <c r="J7" s="46">
        <v>325489</v>
      </c>
      <c r="K7" s="46">
        <v>299630</v>
      </c>
      <c r="L7" s="46">
        <v>303223</v>
      </c>
      <c r="M7" s="46">
        <f>315740+8653</f>
        <v>324393</v>
      </c>
      <c r="N7" s="46">
        <f>SUM(B7:M7)</f>
        <v>3361107</v>
      </c>
      <c r="O7" s="46">
        <v>2800464</v>
      </c>
      <c r="P7" s="47">
        <f t="shared" ref="P7:P26" si="0">(N7-O7)*100/N7</f>
        <v>16.680308005665989</v>
      </c>
    </row>
    <row r="8" spans="1:16">
      <c r="A8" s="12" t="s">
        <v>22</v>
      </c>
      <c r="B8" s="46">
        <f>83783+2103</f>
        <v>85886</v>
      </c>
      <c r="C8" s="46">
        <f>80412+2347</f>
        <v>82759</v>
      </c>
      <c r="D8" s="52">
        <f>90953+2597</f>
        <v>93550</v>
      </c>
      <c r="E8" s="46">
        <f>97979+2938</f>
        <v>100917</v>
      </c>
      <c r="F8" s="46">
        <v>95406</v>
      </c>
      <c r="G8" s="46">
        <f>46577+46416</f>
        <v>92993</v>
      </c>
      <c r="H8" s="46">
        <f>100942+2170</f>
        <v>103112</v>
      </c>
      <c r="I8" s="46">
        <f>108986+2610</f>
        <v>111596</v>
      </c>
      <c r="J8" s="46">
        <f>101025+2886</f>
        <v>103911</v>
      </c>
      <c r="K8" s="46">
        <f>98821+3327</f>
        <v>102148</v>
      </c>
      <c r="L8" s="46">
        <f>103732+2670</f>
        <v>106402</v>
      </c>
      <c r="M8" s="46">
        <f>116560+3428</f>
        <v>119988</v>
      </c>
      <c r="N8" s="46">
        <f>SUM(B8:M8)</f>
        <v>1198668</v>
      </c>
      <c r="O8" s="46">
        <v>1034506</v>
      </c>
      <c r="P8" s="47">
        <f t="shared" si="0"/>
        <v>13.695368525730228</v>
      </c>
    </row>
    <row r="9" spans="1:16">
      <c r="A9" s="12" t="s">
        <v>24</v>
      </c>
      <c r="B9" s="46">
        <f>16674+330</f>
        <v>17004</v>
      </c>
      <c r="C9" s="46">
        <f>15424+144</f>
        <v>15568</v>
      </c>
      <c r="D9" s="52">
        <f>15452+424</f>
        <v>15876</v>
      </c>
      <c r="E9" s="46">
        <f>17907+433</f>
        <v>18340</v>
      </c>
      <c r="F9" s="46">
        <v>17003</v>
      </c>
      <c r="G9" s="46">
        <f>16957+338</f>
        <v>17295</v>
      </c>
      <c r="H9" s="46">
        <f>20756+334</f>
        <v>21090</v>
      </c>
      <c r="I9" s="46">
        <f>21877+214</f>
        <v>22091</v>
      </c>
      <c r="J9" s="46">
        <f>22234+215</f>
        <v>22449</v>
      </c>
      <c r="K9" s="46">
        <f>22559+590</f>
        <v>23149</v>
      </c>
      <c r="L9" s="46">
        <f>22111+606</f>
        <v>22717</v>
      </c>
      <c r="M9" s="46">
        <f>21591+623</f>
        <v>22214</v>
      </c>
      <c r="N9" s="46">
        <f>SUM(B9:M9)</f>
        <v>234796</v>
      </c>
      <c r="O9" s="46">
        <v>188722</v>
      </c>
      <c r="P9" s="47">
        <f t="shared" si="0"/>
        <v>19.622991873796828</v>
      </c>
    </row>
    <row r="10" spans="1:16">
      <c r="A10" s="12" t="s">
        <v>26</v>
      </c>
      <c r="B10" s="46"/>
      <c r="C10" s="46"/>
      <c r="D10" s="53"/>
      <c r="E10" s="49"/>
      <c r="F10" s="49"/>
      <c r="G10" s="49"/>
      <c r="H10" s="46"/>
      <c r="I10" s="46"/>
      <c r="J10" s="46"/>
      <c r="K10" s="46"/>
      <c r="L10" s="46"/>
      <c r="M10" s="46"/>
      <c r="N10" s="46"/>
      <c r="O10" s="46">
        <v>366592</v>
      </c>
      <c r="P10" s="47"/>
    </row>
    <row r="11" spans="1:16">
      <c r="A11" s="12" t="s">
        <v>27</v>
      </c>
      <c r="B11" s="46">
        <f>28614+43</f>
        <v>28657</v>
      </c>
      <c r="C11" s="46">
        <f>29078+64</f>
        <v>29142</v>
      </c>
      <c r="D11" s="52">
        <f>31230+240</f>
        <v>31470</v>
      </c>
      <c r="E11" s="46">
        <f>35366+315</f>
        <v>35681</v>
      </c>
      <c r="F11" s="46">
        <v>28747</v>
      </c>
      <c r="G11" s="46">
        <f>36013+272</f>
        <v>36285</v>
      </c>
      <c r="H11" s="46">
        <f>30511+141</f>
        <v>30652</v>
      </c>
      <c r="I11" s="46">
        <f>26523+375</f>
        <v>26898</v>
      </c>
      <c r="J11" s="46">
        <f>25566+269</f>
        <v>25835</v>
      </c>
      <c r="K11" s="46">
        <f>28745</f>
        <v>28745</v>
      </c>
      <c r="L11" s="46"/>
      <c r="M11" s="46">
        <f>40252+969</f>
        <v>41221</v>
      </c>
      <c r="N11" s="46">
        <f t="shared" ref="N11:N25" si="1">SUM(B11:M11)</f>
        <v>343333</v>
      </c>
      <c r="O11" s="46">
        <v>417041</v>
      </c>
      <c r="P11" s="47">
        <f t="shared" si="0"/>
        <v>-21.468370357641124</v>
      </c>
    </row>
    <row r="12" spans="1:16">
      <c r="A12" s="12" t="s">
        <v>28</v>
      </c>
      <c r="B12" s="46">
        <f>13108+177</f>
        <v>13285</v>
      </c>
      <c r="C12" s="46">
        <f>12637+265</f>
        <v>12902</v>
      </c>
      <c r="D12" s="52">
        <f>12516+1158</f>
        <v>13674</v>
      </c>
      <c r="E12" s="46">
        <f>16929+387</f>
        <v>17316</v>
      </c>
      <c r="F12" s="46">
        <v>16365</v>
      </c>
      <c r="G12" s="46">
        <v>14562</v>
      </c>
      <c r="H12" s="48">
        <v>17208</v>
      </c>
      <c r="I12" s="48">
        <f>20378+404</f>
        <v>20782</v>
      </c>
      <c r="J12" s="48">
        <f>15609+358</f>
        <v>15967</v>
      </c>
      <c r="K12" s="48">
        <f>14017+1166</f>
        <v>15183</v>
      </c>
      <c r="L12" s="48">
        <f>12856+307</f>
        <v>13163</v>
      </c>
      <c r="M12" s="48">
        <f>14228+658</f>
        <v>14886</v>
      </c>
      <c r="N12" s="48">
        <f t="shared" si="1"/>
        <v>185293</v>
      </c>
      <c r="O12" s="48">
        <v>146028</v>
      </c>
      <c r="P12" s="47">
        <f t="shared" si="0"/>
        <v>21.190762737933976</v>
      </c>
    </row>
    <row r="13" spans="1:16">
      <c r="A13" s="12" t="s">
        <v>30</v>
      </c>
      <c r="B13" s="46">
        <f>22613+952</f>
        <v>23565</v>
      </c>
      <c r="C13" s="46">
        <v>25188</v>
      </c>
      <c r="D13" s="52">
        <f>21950</f>
        <v>21950</v>
      </c>
      <c r="E13" s="46">
        <f>24821</f>
        <v>24821</v>
      </c>
      <c r="F13" s="46">
        <v>23211</v>
      </c>
      <c r="G13" s="46">
        <v>20873</v>
      </c>
      <c r="H13" s="46">
        <v>19075</v>
      </c>
      <c r="I13" s="46">
        <v>24196</v>
      </c>
      <c r="J13" s="46">
        <v>21171</v>
      </c>
      <c r="K13" s="46">
        <v>21916</v>
      </c>
      <c r="L13" s="46">
        <v>23473</v>
      </c>
      <c r="M13" s="46">
        <f>18691+11790+878+758</f>
        <v>32117</v>
      </c>
      <c r="N13" s="46">
        <f t="shared" si="1"/>
        <v>281556</v>
      </c>
      <c r="O13" s="46">
        <v>316061</v>
      </c>
      <c r="P13" s="47">
        <f t="shared" si="0"/>
        <v>-12.255110883802868</v>
      </c>
    </row>
    <row r="14" spans="1:16">
      <c r="A14" s="12" t="s">
        <v>32</v>
      </c>
      <c r="B14" s="46">
        <f>4020+179</f>
        <v>4199</v>
      </c>
      <c r="C14" s="46">
        <f>3864+161</f>
        <v>4025</v>
      </c>
      <c r="D14" s="52">
        <f>4538+298</f>
        <v>4836</v>
      </c>
      <c r="E14" s="46">
        <v>5241</v>
      </c>
      <c r="F14" s="46">
        <v>4625</v>
      </c>
      <c r="G14" s="46">
        <f>4515+134</f>
        <v>4649</v>
      </c>
      <c r="H14" s="46">
        <f>5466+227</f>
        <v>5693</v>
      </c>
      <c r="I14" s="46">
        <f>5422+198</f>
        <v>5620</v>
      </c>
      <c r="J14" s="46">
        <v>4319</v>
      </c>
      <c r="K14" s="46">
        <f>5705+504</f>
        <v>6209</v>
      </c>
      <c r="L14" s="46">
        <f>5163+172</f>
        <v>5335</v>
      </c>
      <c r="M14" s="46">
        <f>5474+200</f>
        <v>5674</v>
      </c>
      <c r="N14" s="46">
        <f t="shared" si="1"/>
        <v>60425</v>
      </c>
      <c r="O14" s="46">
        <v>44984</v>
      </c>
      <c r="P14" s="47">
        <f t="shared" si="0"/>
        <v>25.553992552751346</v>
      </c>
    </row>
    <row r="15" spans="1:16">
      <c r="A15" s="12" t="s">
        <v>34</v>
      </c>
      <c r="B15" s="46">
        <f>24730+212</f>
        <v>24942</v>
      </c>
      <c r="C15" s="46">
        <f>25338+318</f>
        <v>25656</v>
      </c>
      <c r="D15" s="52">
        <f>24260+333</f>
        <v>24593</v>
      </c>
      <c r="E15" s="46">
        <f>28543+374</f>
        <v>28917</v>
      </c>
      <c r="F15" s="46">
        <v>27242</v>
      </c>
      <c r="G15" s="46">
        <f>13195+12784</f>
        <v>25979</v>
      </c>
      <c r="H15" s="46">
        <v>28672</v>
      </c>
      <c r="I15" s="46">
        <v>29423</v>
      </c>
      <c r="J15" s="46">
        <f>29423</f>
        <v>29423</v>
      </c>
      <c r="K15" s="46">
        <v>32928</v>
      </c>
      <c r="L15" s="46">
        <f>32964+338</f>
        <v>33302</v>
      </c>
      <c r="M15" s="46">
        <f>36937+1230</f>
        <v>38167</v>
      </c>
      <c r="N15" s="46">
        <f t="shared" si="1"/>
        <v>349244</v>
      </c>
      <c r="O15" s="46">
        <v>308741</v>
      </c>
      <c r="P15" s="47">
        <f t="shared" si="0"/>
        <v>11.597335959959226</v>
      </c>
    </row>
    <row r="16" spans="1:16">
      <c r="A16" s="12" t="s">
        <v>35</v>
      </c>
      <c r="B16" s="46">
        <f>3838+4062</f>
        <v>7900</v>
      </c>
      <c r="C16" s="46">
        <f>7089+128</f>
        <v>7217</v>
      </c>
      <c r="D16" s="52">
        <f>7293+105</f>
        <v>7398</v>
      </c>
      <c r="E16" s="46">
        <f>8676+137</f>
        <v>8813</v>
      </c>
      <c r="F16" s="46">
        <v>8044</v>
      </c>
      <c r="G16" s="46">
        <f>4182+4631</f>
        <v>8813</v>
      </c>
      <c r="H16" s="46">
        <f>8650+832</f>
        <v>9482</v>
      </c>
      <c r="I16" s="46">
        <f>9271+440</f>
        <v>9711</v>
      </c>
      <c r="J16" s="46">
        <f>7460+111</f>
        <v>7571</v>
      </c>
      <c r="K16" s="46">
        <f>8288+298</f>
        <v>8586</v>
      </c>
      <c r="L16" s="46">
        <v>4608</v>
      </c>
      <c r="M16" s="46">
        <v>15488</v>
      </c>
      <c r="N16" s="46">
        <f t="shared" si="1"/>
        <v>103631</v>
      </c>
      <c r="O16" s="46">
        <v>81517</v>
      </c>
      <c r="P16" s="47">
        <f t="shared" si="0"/>
        <v>21.339174571315532</v>
      </c>
    </row>
    <row r="17" spans="1:16">
      <c r="A17" s="12" t="s">
        <v>37</v>
      </c>
      <c r="B17" s="46">
        <f>4936+1730</f>
        <v>6666</v>
      </c>
      <c r="C17" s="46">
        <f>4906+57</f>
        <v>4963</v>
      </c>
      <c r="D17" s="52">
        <f>5278+111</f>
        <v>5389</v>
      </c>
      <c r="E17" s="46">
        <f>7377+703</f>
        <v>8080</v>
      </c>
      <c r="F17" s="46">
        <v>8236</v>
      </c>
      <c r="G17" s="46">
        <f>7647+588</f>
        <v>8235</v>
      </c>
      <c r="H17" s="46">
        <f>7646+588</f>
        <v>8234</v>
      </c>
      <c r="I17" s="46">
        <f>8205+54</f>
        <v>8259</v>
      </c>
      <c r="J17" s="46">
        <f>7666+145</f>
        <v>7811</v>
      </c>
      <c r="K17" s="46">
        <f>2032+125</f>
        <v>2157</v>
      </c>
      <c r="L17" s="46">
        <f>1523+87</f>
        <v>1610</v>
      </c>
      <c r="M17" s="46">
        <f>1910+441</f>
        <v>2351</v>
      </c>
      <c r="N17" s="46">
        <f t="shared" si="1"/>
        <v>71991</v>
      </c>
      <c r="O17" s="46">
        <v>50564</v>
      </c>
      <c r="P17" s="47">
        <f t="shared" si="0"/>
        <v>29.763442652553792</v>
      </c>
    </row>
    <row r="18" spans="1:16">
      <c r="A18" s="12" t="s">
        <v>38</v>
      </c>
      <c r="B18" s="46">
        <f>27635+599</f>
        <v>28234</v>
      </c>
      <c r="C18" s="46">
        <f>29577+205</f>
        <v>29782</v>
      </c>
      <c r="D18" s="52">
        <f>18605+16514</f>
        <v>35119</v>
      </c>
      <c r="E18" s="46">
        <f>41202+695</f>
        <v>41897</v>
      </c>
      <c r="F18" s="46">
        <v>37153</v>
      </c>
      <c r="G18" s="46">
        <v>37779</v>
      </c>
      <c r="H18" s="46">
        <f>39197+1566</f>
        <v>40763</v>
      </c>
      <c r="I18" s="46">
        <f>46337</f>
        <v>46337</v>
      </c>
      <c r="J18" s="46">
        <f>20907+20871</f>
        <v>41778</v>
      </c>
      <c r="K18" s="46">
        <v>45313</v>
      </c>
      <c r="L18" s="46">
        <f>20024+20382</f>
        <v>40406</v>
      </c>
      <c r="M18" s="46">
        <v>51502</v>
      </c>
      <c r="N18" s="46">
        <f t="shared" si="1"/>
        <v>476063</v>
      </c>
      <c r="O18" s="46">
        <v>276926</v>
      </c>
      <c r="P18" s="47">
        <f t="shared" si="0"/>
        <v>41.829967882402116</v>
      </c>
    </row>
    <row r="19" spans="1:16">
      <c r="A19" s="12" t="s">
        <v>39</v>
      </c>
      <c r="B19" s="46"/>
      <c r="C19" s="46">
        <f>7165+41</f>
        <v>7206</v>
      </c>
      <c r="D19" s="52">
        <f>8094+1109</f>
        <v>9203</v>
      </c>
      <c r="E19" s="46">
        <f>5071+5158</f>
        <v>10229</v>
      </c>
      <c r="F19" s="46">
        <v>9137</v>
      </c>
      <c r="G19" s="46">
        <f>8601+750</f>
        <v>9351</v>
      </c>
      <c r="H19" s="46">
        <f>8502+57</f>
        <v>8559</v>
      </c>
      <c r="I19" s="46">
        <f>8969+92</f>
        <v>9061</v>
      </c>
      <c r="J19" s="46">
        <f>4422+4284</f>
        <v>8706</v>
      </c>
      <c r="K19" s="46">
        <f>8497+373</f>
        <v>8870</v>
      </c>
      <c r="L19" s="46">
        <f>8293+671</f>
        <v>8964</v>
      </c>
      <c r="M19" s="46">
        <f>9638+418</f>
        <v>10056</v>
      </c>
      <c r="N19" s="46">
        <f t="shared" si="1"/>
        <v>99342</v>
      </c>
      <c r="O19" s="46">
        <v>91038</v>
      </c>
      <c r="P19" s="47">
        <f t="shared" si="0"/>
        <v>8.359002234704354</v>
      </c>
    </row>
    <row r="20" spans="1:16">
      <c r="A20" s="12" t="s">
        <v>41</v>
      </c>
      <c r="B20" s="46">
        <f>3054+198</f>
        <v>3252</v>
      </c>
      <c r="C20" s="46">
        <f>2995+101</f>
        <v>3096</v>
      </c>
      <c r="D20" s="52">
        <f>2601+286</f>
        <v>2887</v>
      </c>
      <c r="E20" s="46">
        <f>2764+182</f>
        <v>2946</v>
      </c>
      <c r="F20" s="46">
        <v>2876</v>
      </c>
      <c r="G20" s="46">
        <f>2750+224</f>
        <v>2974</v>
      </c>
      <c r="H20" s="46">
        <f>3286+123</f>
        <v>3409</v>
      </c>
      <c r="I20" s="46">
        <f>3727+216</f>
        <v>3943</v>
      </c>
      <c r="J20" s="46">
        <f>3939+276</f>
        <v>4215</v>
      </c>
      <c r="K20" s="46">
        <v>4615</v>
      </c>
      <c r="L20" s="46">
        <v>4596</v>
      </c>
      <c r="M20" s="46">
        <f>2495+339</f>
        <v>2834</v>
      </c>
      <c r="N20" s="46">
        <f t="shared" si="1"/>
        <v>41643</v>
      </c>
      <c r="O20" s="46">
        <v>24512</v>
      </c>
      <c r="P20" s="47">
        <f t="shared" si="0"/>
        <v>41.137766251230701</v>
      </c>
    </row>
    <row r="21" spans="1:16">
      <c r="A21" s="12" t="s">
        <v>43</v>
      </c>
      <c r="B21" s="46">
        <f>1249+421</f>
        <v>1670</v>
      </c>
      <c r="C21" s="46">
        <f>1333+1220</f>
        <v>2553</v>
      </c>
      <c r="D21" s="52">
        <f>1875+191</f>
        <v>2066</v>
      </c>
      <c r="E21" s="46">
        <f>1804+96</f>
        <v>1900</v>
      </c>
      <c r="F21" s="46">
        <v>1950</v>
      </c>
      <c r="G21" s="46">
        <f>1836+114</f>
        <v>1950</v>
      </c>
      <c r="H21" s="46">
        <f>1945+272</f>
        <v>2217</v>
      </c>
      <c r="I21" s="46">
        <f>2373+49</f>
        <v>2422</v>
      </c>
      <c r="J21" s="46">
        <v>2601</v>
      </c>
      <c r="K21" s="46">
        <v>2495</v>
      </c>
      <c r="L21" s="46">
        <v>2758</v>
      </c>
      <c r="M21" s="46">
        <f>2614+396</f>
        <v>3010</v>
      </c>
      <c r="N21" s="46">
        <f t="shared" si="1"/>
        <v>27592</v>
      </c>
      <c r="O21" s="46">
        <v>8217</v>
      </c>
      <c r="P21" s="47">
        <f t="shared" si="0"/>
        <v>70.219628877935634</v>
      </c>
    </row>
    <row r="22" spans="1:16">
      <c r="A22" s="12" t="s">
        <v>44</v>
      </c>
      <c r="B22" s="46">
        <f>139+377</f>
        <v>516</v>
      </c>
      <c r="C22" s="46">
        <f>11+73</f>
        <v>84</v>
      </c>
      <c r="D22" s="52">
        <f>196+80</f>
        <v>276</v>
      </c>
      <c r="E22" s="46">
        <f>49+267</f>
        <v>316</v>
      </c>
      <c r="F22" s="46">
        <v>368</v>
      </c>
      <c r="G22" s="46">
        <f>39+418</f>
        <v>457</v>
      </c>
      <c r="H22" s="46">
        <f>119+91</f>
        <v>210</v>
      </c>
      <c r="I22" s="48">
        <v>45</v>
      </c>
      <c r="J22" s="46">
        <v>204</v>
      </c>
      <c r="K22" s="46">
        <v>4519</v>
      </c>
      <c r="L22" s="46">
        <v>1894</v>
      </c>
      <c r="M22" s="46">
        <v>2842</v>
      </c>
      <c r="N22" s="46">
        <f t="shared" si="1"/>
        <v>11731</v>
      </c>
      <c r="O22" s="46">
        <v>12311</v>
      </c>
      <c r="P22" s="47">
        <f t="shared" si="0"/>
        <v>-4.9441650328190265</v>
      </c>
    </row>
    <row r="23" spans="1:16">
      <c r="A23" s="12" t="s">
        <v>46</v>
      </c>
      <c r="B23" s="46"/>
      <c r="C23" s="46">
        <v>421</v>
      </c>
      <c r="D23" s="52">
        <f>570+57</f>
        <v>627</v>
      </c>
      <c r="E23" s="46"/>
      <c r="F23" s="46">
        <v>565</v>
      </c>
      <c r="G23" s="46"/>
      <c r="H23" s="46">
        <v>543</v>
      </c>
      <c r="I23" s="46">
        <v>650</v>
      </c>
      <c r="J23" s="46"/>
      <c r="K23" s="46">
        <v>566</v>
      </c>
      <c r="L23" s="46">
        <f>434</f>
        <v>434</v>
      </c>
      <c r="M23" s="46">
        <f>771+288</f>
        <v>1059</v>
      </c>
      <c r="N23" s="46">
        <f t="shared" si="1"/>
        <v>4865</v>
      </c>
      <c r="O23" s="46">
        <v>11307</v>
      </c>
      <c r="P23" s="47">
        <f t="shared" si="0"/>
        <v>-132.415210688592</v>
      </c>
    </row>
    <row r="24" spans="1:16">
      <c r="A24" s="12" t="s">
        <v>47</v>
      </c>
      <c r="B24" s="46">
        <v>564</v>
      </c>
      <c r="C24" s="46">
        <f>115+225</f>
        <v>340</v>
      </c>
      <c r="D24" s="52">
        <f>408+407</f>
        <v>815</v>
      </c>
      <c r="E24" s="49">
        <v>527</v>
      </c>
      <c r="F24" s="49">
        <v>2606</v>
      </c>
      <c r="G24" s="49">
        <f>596+625</f>
        <v>1221</v>
      </c>
      <c r="H24" s="46">
        <v>838</v>
      </c>
      <c r="I24" s="46">
        <v>1059</v>
      </c>
      <c r="J24" s="46">
        <v>803</v>
      </c>
      <c r="K24" s="46"/>
      <c r="L24" s="46"/>
      <c r="M24" s="13">
        <f>376+373</f>
        <v>749</v>
      </c>
      <c r="N24" s="46">
        <f t="shared" si="1"/>
        <v>9522</v>
      </c>
      <c r="O24" s="46">
        <v>9396</v>
      </c>
      <c r="P24" s="47">
        <f t="shared" si="0"/>
        <v>1.3232514177693762</v>
      </c>
    </row>
    <row r="25" spans="1:16">
      <c r="A25" s="12" t="s">
        <v>49</v>
      </c>
      <c r="B25" s="48">
        <v>0</v>
      </c>
      <c r="C25" s="48">
        <v>0</v>
      </c>
      <c r="D25" s="46">
        <v>85</v>
      </c>
      <c r="E25" s="46">
        <v>797</v>
      </c>
      <c r="F25" s="46">
        <v>164</v>
      </c>
      <c r="G25" s="46">
        <v>91</v>
      </c>
      <c r="H25" s="46">
        <f>34+24</f>
        <v>58</v>
      </c>
      <c r="I25" s="46">
        <v>60</v>
      </c>
      <c r="J25" s="46">
        <v>25</v>
      </c>
      <c r="K25" s="46">
        <v>95</v>
      </c>
      <c r="L25" s="46">
        <v>161</v>
      </c>
      <c r="M25" s="48">
        <v>459</v>
      </c>
      <c r="N25" s="46">
        <f t="shared" si="1"/>
        <v>1995</v>
      </c>
      <c r="O25" s="46">
        <v>4708</v>
      </c>
      <c r="P25" s="47">
        <f t="shared" si="0"/>
        <v>-135.98997493734336</v>
      </c>
    </row>
    <row r="26" spans="1:16">
      <c r="A26" s="12" t="s">
        <v>50</v>
      </c>
      <c r="B26" s="5">
        <f t="shared" ref="B26:O26" si="2">SUM(B6:B25)</f>
        <v>759624</v>
      </c>
      <c r="C26" s="5">
        <f t="shared" si="2"/>
        <v>737437</v>
      </c>
      <c r="D26" s="5">
        <f t="shared" si="2"/>
        <v>782933</v>
      </c>
      <c r="E26" s="5">
        <f t="shared" si="2"/>
        <v>894332</v>
      </c>
      <c r="F26" s="5">
        <f t="shared" si="2"/>
        <v>874949</v>
      </c>
      <c r="G26" s="5">
        <f t="shared" si="2"/>
        <v>870641</v>
      </c>
      <c r="H26" s="5">
        <f t="shared" si="2"/>
        <v>941394</v>
      </c>
      <c r="I26" s="5">
        <f t="shared" si="2"/>
        <v>982969</v>
      </c>
      <c r="J26" s="5">
        <f t="shared" si="2"/>
        <v>947653</v>
      </c>
      <c r="K26" s="5">
        <f t="shared" si="2"/>
        <v>949510</v>
      </c>
      <c r="L26" s="5">
        <f t="shared" si="2"/>
        <v>908135</v>
      </c>
      <c r="M26" s="56">
        <f t="shared" si="2"/>
        <v>1078078</v>
      </c>
      <c r="N26" s="5">
        <f t="shared" si="2"/>
        <v>10727655</v>
      </c>
      <c r="O26" s="5">
        <f t="shared" si="2"/>
        <v>9513738</v>
      </c>
      <c r="P26" s="18">
        <f t="shared" si="0"/>
        <v>11.315772179474452</v>
      </c>
    </row>
  </sheetData>
  <mergeCells count="4">
    <mergeCell ref="A1:P1"/>
    <mergeCell ref="A2:P2"/>
    <mergeCell ref="A3:P3"/>
    <mergeCell ref="A4:P4"/>
  </mergeCells>
  <pageMargins left="0.7" right="0.7" top="0.75" bottom="0.75" header="0.3" footer="0.3"/>
  <pageSetup scale="54" fitToHeight="4" orientation="landscape" r:id="rId1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"/>
  <sheetViews>
    <sheetView workbookViewId="0">
      <selection activeCell="C34" sqref="C34"/>
    </sheetView>
  </sheetViews>
  <sheetFormatPr defaultRowHeight="15"/>
  <cols>
    <col min="1" max="1" width="12" bestFit="1" customWidth="1"/>
    <col min="2" max="2" width="10.5703125" bestFit="1" customWidth="1"/>
    <col min="3" max="3" width="9" bestFit="1" customWidth="1"/>
    <col min="4" max="13" width="10.5703125" bestFit="1" customWidth="1"/>
    <col min="14" max="15" width="11.5703125" bestFit="1" customWidth="1"/>
    <col min="16" max="16" width="10.85546875" bestFit="1" customWidth="1"/>
  </cols>
  <sheetData>
    <row r="1" spans="1:16" ht="18.7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 ht="18.7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16" ht="18.75">
      <c r="A3" s="99" t="s">
        <v>97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6" ht="18.75">
      <c r="A4" s="100" t="s">
        <v>62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">
      <c r="A5" s="12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2" t="s">
        <v>12</v>
      </c>
      <c r="K5" s="12" t="s">
        <v>13</v>
      </c>
      <c r="L5" s="12" t="s">
        <v>14</v>
      </c>
      <c r="M5" s="12" t="s">
        <v>15</v>
      </c>
      <c r="N5" s="12" t="s">
        <v>16</v>
      </c>
      <c r="O5" s="12" t="s">
        <v>63</v>
      </c>
      <c r="P5" s="12" t="s">
        <v>17</v>
      </c>
    </row>
    <row r="6" spans="1:16">
      <c r="A6" s="12" t="s">
        <v>19</v>
      </c>
      <c r="B6" s="46">
        <f>191709+160</f>
        <v>191869</v>
      </c>
      <c r="C6" s="46">
        <f>74812+81467</f>
        <v>156279</v>
      </c>
      <c r="D6" s="51">
        <f>182382+2177</f>
        <v>184559</v>
      </c>
      <c r="E6" s="46">
        <f>178827+1838</f>
        <v>180665</v>
      </c>
      <c r="F6" s="46">
        <v>180560</v>
      </c>
      <c r="G6" s="46">
        <f>179785+2159</f>
        <v>181944</v>
      </c>
      <c r="H6" s="46">
        <f>222618+208</f>
        <v>222826</v>
      </c>
      <c r="I6" s="46">
        <f>239387+948</f>
        <v>240335</v>
      </c>
      <c r="J6" s="46">
        <f>224251+240</f>
        <v>224491</v>
      </c>
      <c r="K6" s="46">
        <f>184950+760</f>
        <v>185710</v>
      </c>
      <c r="L6" s="46">
        <f>217916+1562</f>
        <v>219478</v>
      </c>
      <c r="M6" s="46">
        <f>238988+1383</f>
        <v>240371</v>
      </c>
      <c r="N6" s="46">
        <f>SUM(B6:M6)</f>
        <v>2409087</v>
      </c>
      <c r="O6" s="46">
        <v>2324469</v>
      </c>
      <c r="P6" s="47">
        <f t="shared" ref="P6:P18" si="0">(N6-O6)*100/N6</f>
        <v>3.512450982467632</v>
      </c>
    </row>
    <row r="7" spans="1:16">
      <c r="A7" s="12" t="s">
        <v>21</v>
      </c>
      <c r="B7" s="46">
        <f>36092+6755</f>
        <v>42847</v>
      </c>
      <c r="C7" s="46">
        <f>26975+4236</f>
        <v>31211</v>
      </c>
      <c r="D7" s="52">
        <f>33788+707</f>
        <v>34495</v>
      </c>
      <c r="E7" s="46">
        <f>32102+737</f>
        <v>32839</v>
      </c>
      <c r="F7" s="46">
        <v>41042</v>
      </c>
      <c r="G7" s="46">
        <f>37675+3121</f>
        <v>40796</v>
      </c>
      <c r="H7" s="46">
        <f>47123+2167</f>
        <v>49290</v>
      </c>
      <c r="I7" s="46">
        <f>47236+4739</f>
        <v>51975</v>
      </c>
      <c r="J7" s="46">
        <v>71616</v>
      </c>
      <c r="K7" s="46">
        <v>55423</v>
      </c>
      <c r="L7" s="46">
        <v>55048</v>
      </c>
      <c r="M7" s="46">
        <f>47629+7229</f>
        <v>54858</v>
      </c>
      <c r="N7" s="46">
        <f>SUM(B7:M7)</f>
        <v>561440</v>
      </c>
      <c r="O7" s="46">
        <v>395974</v>
      </c>
      <c r="P7" s="47">
        <f t="shared" si="0"/>
        <v>29.471715588486749</v>
      </c>
    </row>
    <row r="8" spans="1:16">
      <c r="A8" s="12" t="s">
        <v>23</v>
      </c>
      <c r="B8" s="48">
        <f>2723</f>
        <v>2723</v>
      </c>
      <c r="C8" s="48">
        <f>635+25</f>
        <v>660</v>
      </c>
      <c r="D8" s="51">
        <f>149+6</f>
        <v>155</v>
      </c>
      <c r="E8" s="46">
        <f>180+6</f>
        <v>186</v>
      </c>
      <c r="F8" s="46">
        <v>182</v>
      </c>
      <c r="G8" s="46">
        <f>97+7</f>
        <v>104</v>
      </c>
      <c r="H8" s="46">
        <f>287+16</f>
        <v>303</v>
      </c>
      <c r="I8" s="46">
        <f>172+2</f>
        <v>174</v>
      </c>
      <c r="J8" s="46">
        <f>199+60</f>
        <v>259</v>
      </c>
      <c r="K8" s="46">
        <f>300+4</f>
        <v>304</v>
      </c>
      <c r="L8" s="46">
        <f>304+1456</f>
        <v>1760</v>
      </c>
      <c r="M8" s="46">
        <f>357+5981</f>
        <v>6338</v>
      </c>
      <c r="N8" s="46">
        <f>SUM(B8:M8)</f>
        <v>13148</v>
      </c>
      <c r="O8" s="46">
        <v>47081</v>
      </c>
      <c r="P8" s="47">
        <f t="shared" si="0"/>
        <v>-258.08487982963186</v>
      </c>
    </row>
    <row r="9" spans="1:16">
      <c r="A9" s="12" t="s">
        <v>25</v>
      </c>
      <c r="B9" s="46">
        <f>5957+12</f>
        <v>5969</v>
      </c>
      <c r="C9" s="46">
        <f>7042+4</f>
        <v>7046</v>
      </c>
      <c r="D9" s="52">
        <f>7238+59</f>
        <v>7297</v>
      </c>
      <c r="E9" s="46">
        <f>8441+8</f>
        <v>8449</v>
      </c>
      <c r="F9" s="46">
        <v>9331</v>
      </c>
      <c r="G9" s="46">
        <f>9275+39</f>
        <v>9314</v>
      </c>
      <c r="H9" s="46">
        <f>9198+43</f>
        <v>9241</v>
      </c>
      <c r="I9" s="46">
        <f>17982+130</f>
        <v>18112</v>
      </c>
      <c r="J9" s="46">
        <f>26188+25</f>
        <v>26213</v>
      </c>
      <c r="K9" s="46">
        <f>11730+75</f>
        <v>11805</v>
      </c>
      <c r="L9" s="46">
        <f>17980+106</f>
        <v>18086</v>
      </c>
      <c r="M9" s="46">
        <f>15964+15</f>
        <v>15979</v>
      </c>
      <c r="N9" s="46">
        <f>SUM(B9:M9)</f>
        <v>146842</v>
      </c>
      <c r="O9" s="46">
        <v>134760</v>
      </c>
      <c r="P9" s="47">
        <f t="shared" si="0"/>
        <v>8.227891202789392</v>
      </c>
    </row>
    <row r="10" spans="1:16">
      <c r="A10" s="12" t="s">
        <v>29</v>
      </c>
      <c r="B10" s="48">
        <v>0</v>
      </c>
      <c r="C10" s="48">
        <f>0</f>
        <v>0</v>
      </c>
      <c r="D10" s="54">
        <v>0</v>
      </c>
      <c r="E10" s="49">
        <v>0</v>
      </c>
      <c r="F10" s="49">
        <v>0</v>
      </c>
      <c r="G10" s="49">
        <v>0</v>
      </c>
      <c r="H10" s="48">
        <v>0</v>
      </c>
      <c r="I10" s="48">
        <v>0</v>
      </c>
      <c r="J10" s="48">
        <v>1581</v>
      </c>
      <c r="K10" s="50">
        <f>4364</f>
        <v>4364</v>
      </c>
      <c r="L10" s="46">
        <v>5246</v>
      </c>
      <c r="M10" s="48">
        <f>0</f>
        <v>0</v>
      </c>
      <c r="N10" s="46">
        <f t="shared" ref="N10:N17" si="1">SUM(B10:M10)</f>
        <v>11191</v>
      </c>
      <c r="O10" s="46">
        <v>21488</v>
      </c>
      <c r="P10" s="47">
        <f t="shared" si="0"/>
        <v>-92.011437762487716</v>
      </c>
    </row>
    <row r="11" spans="1:16">
      <c r="A11" s="12" t="s">
        <v>31</v>
      </c>
      <c r="B11" s="46">
        <f>60</f>
        <v>60</v>
      </c>
      <c r="C11" s="46">
        <v>84</v>
      </c>
      <c r="D11" s="55">
        <v>56</v>
      </c>
      <c r="E11" s="46">
        <v>62</v>
      </c>
      <c r="F11" s="49">
        <v>0</v>
      </c>
      <c r="G11" s="49">
        <v>54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6">
        <v>675</v>
      </c>
      <c r="P11" s="48">
        <v>0</v>
      </c>
    </row>
    <row r="12" spans="1:16">
      <c r="A12" s="12" t="s">
        <v>33</v>
      </c>
      <c r="B12" s="48">
        <f>0</f>
        <v>0</v>
      </c>
      <c r="C12" s="48">
        <v>0</v>
      </c>
      <c r="D12" s="55">
        <v>0</v>
      </c>
      <c r="E12" s="49">
        <v>0</v>
      </c>
      <c r="F12" s="49">
        <v>0</v>
      </c>
      <c r="G12" s="49">
        <v>0</v>
      </c>
      <c r="H12" s="48">
        <v>0</v>
      </c>
      <c r="I12" s="48">
        <v>1322</v>
      </c>
      <c r="J12" s="46">
        <v>2824</v>
      </c>
      <c r="K12" s="46">
        <f>17042</f>
        <v>17042</v>
      </c>
      <c r="L12" s="46">
        <v>7326</v>
      </c>
      <c r="M12" s="46">
        <v>11717</v>
      </c>
      <c r="N12" s="46">
        <f t="shared" si="1"/>
        <v>40231</v>
      </c>
      <c r="O12" s="46">
        <v>41356</v>
      </c>
      <c r="P12" s="47">
        <f t="shared" si="0"/>
        <v>-2.7963510725559892</v>
      </c>
    </row>
    <row r="13" spans="1:16">
      <c r="A13" s="12" t="s">
        <v>36</v>
      </c>
      <c r="B13" s="46">
        <v>15</v>
      </c>
      <c r="C13" s="48">
        <v>6</v>
      </c>
      <c r="D13" s="52">
        <f>45</f>
        <v>45</v>
      </c>
      <c r="E13" s="46">
        <v>15</v>
      </c>
      <c r="F13" s="46">
        <v>8</v>
      </c>
      <c r="G13" s="48">
        <v>0</v>
      </c>
      <c r="H13" s="48">
        <v>0</v>
      </c>
      <c r="I13" s="48">
        <v>0</v>
      </c>
      <c r="J13" s="46">
        <v>2470</v>
      </c>
      <c r="K13" s="46">
        <f>6135+50</f>
        <v>6185</v>
      </c>
      <c r="L13" s="46">
        <v>6887</v>
      </c>
      <c r="M13" s="48">
        <v>0</v>
      </c>
      <c r="N13" s="46">
        <f t="shared" si="1"/>
        <v>15631</v>
      </c>
      <c r="O13" s="46">
        <v>15777</v>
      </c>
      <c r="P13" s="47">
        <f t="shared" si="0"/>
        <v>-0.93404132812999807</v>
      </c>
    </row>
    <row r="14" spans="1:16">
      <c r="A14" s="12" t="s">
        <v>40</v>
      </c>
      <c r="B14" s="46"/>
      <c r="C14" s="48">
        <v>0</v>
      </c>
      <c r="D14" s="55">
        <v>0</v>
      </c>
      <c r="E14" s="49">
        <v>0</v>
      </c>
      <c r="F14" s="49">
        <v>0</v>
      </c>
      <c r="G14" s="49">
        <v>0</v>
      </c>
      <c r="H14" s="48">
        <v>0</v>
      </c>
      <c r="I14" s="48">
        <v>0</v>
      </c>
      <c r="J14" s="48">
        <f>552+352</f>
        <v>904</v>
      </c>
      <c r="K14" s="48">
        <f>246+4339</f>
        <v>4585</v>
      </c>
      <c r="L14" s="46">
        <v>4787</v>
      </c>
      <c r="M14" s="46">
        <v>324</v>
      </c>
      <c r="N14" s="46">
        <f t="shared" si="1"/>
        <v>10600</v>
      </c>
      <c r="O14" s="46">
        <v>17639</v>
      </c>
      <c r="P14" s="47">
        <f t="shared" si="0"/>
        <v>-66.405660377358487</v>
      </c>
    </row>
    <row r="15" spans="1:16">
      <c r="A15" s="12" t="s">
        <v>42</v>
      </c>
      <c r="B15" s="48">
        <v>0</v>
      </c>
      <c r="C15" s="48">
        <v>0</v>
      </c>
      <c r="D15" s="55">
        <v>0</v>
      </c>
      <c r="E15" s="49">
        <v>0</v>
      </c>
      <c r="F15" s="49">
        <v>0</v>
      </c>
      <c r="G15" s="49">
        <v>0</v>
      </c>
      <c r="H15" s="48">
        <v>0</v>
      </c>
      <c r="I15" s="48">
        <v>0</v>
      </c>
      <c r="J15" s="48">
        <v>0</v>
      </c>
      <c r="K15" s="48">
        <f>150+3208</f>
        <v>3358</v>
      </c>
      <c r="L15" s="48">
        <f>1819+131</f>
        <v>1950</v>
      </c>
      <c r="M15" s="11">
        <f>3553+326</f>
        <v>3879</v>
      </c>
      <c r="N15" s="48">
        <f>SUM(B15:L15)</f>
        <v>5308</v>
      </c>
      <c r="O15" s="46">
        <v>1441</v>
      </c>
      <c r="P15" s="47"/>
    </row>
    <row r="16" spans="1:16">
      <c r="A16" s="12" t="s">
        <v>45</v>
      </c>
      <c r="B16" s="48">
        <v>0</v>
      </c>
      <c r="C16" s="48">
        <v>0</v>
      </c>
      <c r="D16" s="53">
        <v>0</v>
      </c>
      <c r="E16" s="48">
        <f>0</f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4327</v>
      </c>
      <c r="L16" s="48">
        <f>543+550+200+546</f>
        <v>1839</v>
      </c>
      <c r="M16" s="14">
        <f>546*5</f>
        <v>2730</v>
      </c>
      <c r="N16" s="48">
        <f t="shared" si="1"/>
        <v>8896</v>
      </c>
      <c r="O16" s="48">
        <v>0</v>
      </c>
      <c r="P16" s="47">
        <f t="shared" si="0"/>
        <v>100</v>
      </c>
    </row>
    <row r="17" spans="1:16">
      <c r="A17" s="12" t="s">
        <v>48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/>
      <c r="L17" s="46"/>
      <c r="M17" s="46">
        <f>4142-749</f>
        <v>3393</v>
      </c>
      <c r="N17" s="48">
        <f t="shared" si="1"/>
        <v>3393</v>
      </c>
      <c r="O17" s="46">
        <v>12066</v>
      </c>
      <c r="P17" s="47"/>
    </row>
    <row r="18" spans="1:16">
      <c r="A18" s="12" t="s">
        <v>50</v>
      </c>
      <c r="B18" s="5">
        <f t="shared" ref="B18:O18" si="2">SUM(B6:B17)</f>
        <v>243483</v>
      </c>
      <c r="C18" s="5">
        <f t="shared" si="2"/>
        <v>195286</v>
      </c>
      <c r="D18" s="5">
        <f t="shared" si="2"/>
        <v>226607</v>
      </c>
      <c r="E18" s="5">
        <f t="shared" si="2"/>
        <v>222216</v>
      </c>
      <c r="F18" s="5">
        <f t="shared" si="2"/>
        <v>231123</v>
      </c>
      <c r="G18" s="5">
        <f t="shared" si="2"/>
        <v>232212</v>
      </c>
      <c r="H18" s="5">
        <f t="shared" si="2"/>
        <v>281660</v>
      </c>
      <c r="I18" s="5">
        <f t="shared" si="2"/>
        <v>311918</v>
      </c>
      <c r="J18" s="5">
        <f t="shared" si="2"/>
        <v>330358</v>
      </c>
      <c r="K18" s="5">
        <f t="shared" si="2"/>
        <v>293103</v>
      </c>
      <c r="L18" s="5">
        <f t="shared" si="2"/>
        <v>322407</v>
      </c>
      <c r="M18" s="56">
        <f t="shared" si="2"/>
        <v>339589</v>
      </c>
      <c r="N18" s="5">
        <f t="shared" si="2"/>
        <v>3225767</v>
      </c>
      <c r="O18" s="5">
        <f t="shared" si="2"/>
        <v>3012726</v>
      </c>
      <c r="P18" s="18">
        <f t="shared" si="0"/>
        <v>6.604351771222162</v>
      </c>
    </row>
  </sheetData>
  <mergeCells count="4">
    <mergeCell ref="A1:P1"/>
    <mergeCell ref="A2:P2"/>
    <mergeCell ref="A3:P3"/>
    <mergeCell ref="A4:P4"/>
  </mergeCells>
  <pageMargins left="0.7" right="0.7" top="0.75" bottom="0.75" header="0.3" footer="0.3"/>
  <pageSetup scale="71" fitToHeight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0"/>
  <sheetViews>
    <sheetView workbookViewId="0">
      <selection activeCell="K30" sqref="K30"/>
    </sheetView>
  </sheetViews>
  <sheetFormatPr defaultRowHeight="15"/>
  <cols>
    <col min="1" max="1" width="12" bestFit="1" customWidth="1"/>
    <col min="2" max="13" width="8" bestFit="1" customWidth="1"/>
    <col min="14" max="15" width="9" bestFit="1" customWidth="1"/>
    <col min="16" max="16" width="10.85546875" bestFit="1" customWidth="1"/>
  </cols>
  <sheetData>
    <row r="1" spans="1:16" ht="18.7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 ht="18.7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16" ht="18.75">
      <c r="A3" s="99" t="s">
        <v>98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6" ht="18.75">
      <c r="A4" s="100" t="s">
        <v>62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">
      <c r="A5" s="12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2" t="s">
        <v>12</v>
      </c>
      <c r="K5" s="12" t="s">
        <v>13</v>
      </c>
      <c r="L5" s="12" t="s">
        <v>14</v>
      </c>
      <c r="M5" s="12" t="s">
        <v>15</v>
      </c>
      <c r="N5" s="12" t="s">
        <v>16</v>
      </c>
      <c r="O5" s="12" t="s">
        <v>63</v>
      </c>
      <c r="P5" s="12" t="s">
        <v>17</v>
      </c>
    </row>
    <row r="6" spans="1:16">
      <c r="A6" s="12" t="s">
        <v>18</v>
      </c>
      <c r="B6" s="13">
        <v>5379</v>
      </c>
      <c r="C6" s="13">
        <v>4599</v>
      </c>
      <c r="D6" s="13">
        <f>4455+412+892+99</f>
        <v>5858</v>
      </c>
      <c r="E6" s="13">
        <f>4439+395+1000+173</f>
        <v>6007</v>
      </c>
      <c r="F6" s="13">
        <f>6327</f>
        <v>6327</v>
      </c>
      <c r="G6" s="13">
        <f>4481+369+1028+254</f>
        <v>6132</v>
      </c>
      <c r="H6" s="13">
        <f>4714+356+1014+150</f>
        <v>6234</v>
      </c>
      <c r="I6" s="13">
        <v>6536</v>
      </c>
      <c r="J6" s="13">
        <v>5973</v>
      </c>
      <c r="K6" s="10">
        <f>2232+2206+413+1058+296</f>
        <v>6205</v>
      </c>
      <c r="L6" s="10">
        <f>4340+409+1164+217</f>
        <v>6130</v>
      </c>
      <c r="M6" s="13">
        <f>4946+408+897+291</f>
        <v>6542</v>
      </c>
      <c r="N6" s="22">
        <f>SUM(B6:M6)</f>
        <v>71922</v>
      </c>
      <c r="O6" s="13">
        <v>59876</v>
      </c>
      <c r="P6" s="13">
        <f>(N6-O6)*100/N6</f>
        <v>16.748699980534468</v>
      </c>
    </row>
    <row r="7" spans="1:16">
      <c r="A7" s="12" t="s">
        <v>52</v>
      </c>
      <c r="B7" s="13">
        <f>3400+730</f>
        <v>4130</v>
      </c>
      <c r="C7" s="13">
        <f>3154+668</f>
        <v>3822</v>
      </c>
      <c r="D7" s="13">
        <f>3288+442</f>
        <v>3730</v>
      </c>
      <c r="E7" s="13">
        <f>3362+884</f>
        <v>4246</v>
      </c>
      <c r="F7" s="13">
        <v>4416</v>
      </c>
      <c r="G7" s="13">
        <f>3432+754</f>
        <v>4186</v>
      </c>
      <c r="H7" s="13">
        <f>3570+1052</f>
        <v>4622</v>
      </c>
      <c r="I7" s="13">
        <f>3598+802</f>
        <v>4400</v>
      </c>
      <c r="J7" s="13">
        <f>2374+2374</f>
        <v>4748</v>
      </c>
      <c r="K7" s="13">
        <f>2332+2332</f>
        <v>4664</v>
      </c>
      <c r="L7" s="13">
        <v>4958</v>
      </c>
      <c r="M7" s="13">
        <f>4154+1210</f>
        <v>5364</v>
      </c>
      <c r="N7" s="22">
        <f>SUM(B7:M7)</f>
        <v>53286</v>
      </c>
      <c r="O7" s="13">
        <v>48506</v>
      </c>
      <c r="P7" s="13">
        <f t="shared" ref="P7:P26" si="0">(N7-O7)*100/N7</f>
        <v>8.9704612843898968</v>
      </c>
    </row>
    <row r="8" spans="1:16">
      <c r="A8" s="12" t="s">
        <v>22</v>
      </c>
      <c r="B8" s="13">
        <f>1125+220+68+56</f>
        <v>1469</v>
      </c>
      <c r="C8" s="13">
        <f>1178+280+88+62</f>
        <v>1608</v>
      </c>
      <c r="D8" s="13">
        <v>1782</v>
      </c>
      <c r="E8" s="13">
        <f>1224+266+85+42</f>
        <v>1617</v>
      </c>
      <c r="F8" s="13">
        <v>1683</v>
      </c>
      <c r="G8" s="13">
        <f>1209+374+90+55</f>
        <v>1728</v>
      </c>
      <c r="H8" s="13">
        <v>1555</v>
      </c>
      <c r="I8" s="13">
        <f>1333+321+78+46</f>
        <v>1778</v>
      </c>
      <c r="J8" s="13">
        <v>1719</v>
      </c>
      <c r="K8" s="13">
        <v>1716</v>
      </c>
      <c r="L8" s="13">
        <f>1208+411+77</f>
        <v>1696</v>
      </c>
      <c r="M8" s="13">
        <f>1326+474+77+85</f>
        <v>1962</v>
      </c>
      <c r="N8" s="22">
        <f>SUM(B8:M8)</f>
        <v>20313</v>
      </c>
      <c r="O8" s="13">
        <v>21163</v>
      </c>
      <c r="P8" s="13">
        <f t="shared" si="0"/>
        <v>-4.1845123812336924</v>
      </c>
    </row>
    <row r="9" spans="1:16">
      <c r="A9" s="12" t="s">
        <v>24</v>
      </c>
      <c r="B9" s="13">
        <v>440</v>
      </c>
      <c r="C9" s="13">
        <f>326+63</f>
        <v>389</v>
      </c>
      <c r="D9" s="13">
        <v>353</v>
      </c>
      <c r="E9" s="13">
        <f>268+83</f>
        <v>351</v>
      </c>
      <c r="F9" s="13">
        <v>351</v>
      </c>
      <c r="G9" s="13">
        <f>240+118</f>
        <v>358</v>
      </c>
      <c r="H9" s="13">
        <f>349+123</f>
        <v>472</v>
      </c>
      <c r="I9" s="13">
        <f>376+52</f>
        <v>428</v>
      </c>
      <c r="J9" s="13">
        <f>346+131</f>
        <v>477</v>
      </c>
      <c r="K9" s="13">
        <v>446</v>
      </c>
      <c r="L9" s="13">
        <f>380+127</f>
        <v>507</v>
      </c>
      <c r="M9" s="13">
        <f>358+108</f>
        <v>466</v>
      </c>
      <c r="N9" s="22">
        <f>SUM(B9:M9)</f>
        <v>5038</v>
      </c>
      <c r="O9" s="13">
        <v>4135</v>
      </c>
      <c r="P9" s="13">
        <f t="shared" si="0"/>
        <v>17.923779277491068</v>
      </c>
    </row>
    <row r="10" spans="1:16">
      <c r="A10" s="12" t="s">
        <v>26</v>
      </c>
      <c r="B10" s="13"/>
      <c r="C10" s="13"/>
      <c r="D10" s="13"/>
      <c r="E10" s="13"/>
      <c r="F10" s="32"/>
      <c r="G10" s="32"/>
      <c r="H10" s="13"/>
      <c r="I10" s="13"/>
      <c r="J10" s="13"/>
      <c r="K10" s="13"/>
      <c r="L10" s="13"/>
      <c r="M10" s="13"/>
      <c r="N10" s="17"/>
      <c r="O10" s="13">
        <v>6286</v>
      </c>
      <c r="P10" s="14">
        <v>0</v>
      </c>
    </row>
    <row r="11" spans="1:16">
      <c r="A11" s="12" t="s">
        <v>27</v>
      </c>
      <c r="B11" s="13">
        <f>816+14</f>
        <v>830</v>
      </c>
      <c r="C11" s="13">
        <f>830+18</f>
        <v>848</v>
      </c>
      <c r="D11" s="13">
        <f>940+66</f>
        <v>1006</v>
      </c>
      <c r="E11" s="13">
        <f>946+92</f>
        <v>1038</v>
      </c>
      <c r="F11" s="13">
        <v>1018</v>
      </c>
      <c r="G11" s="13">
        <v>1228</v>
      </c>
      <c r="H11" s="13">
        <v>1094</v>
      </c>
      <c r="I11" s="13">
        <v>1142</v>
      </c>
      <c r="J11" s="13">
        <f>884</f>
        <v>884</v>
      </c>
      <c r="K11" s="13">
        <v>1194</v>
      </c>
      <c r="L11" s="13"/>
      <c r="M11" s="13">
        <v>1332</v>
      </c>
      <c r="N11" s="22">
        <f t="shared" ref="N11:N25" si="1">SUM(B11:M11)</f>
        <v>11614</v>
      </c>
      <c r="O11" s="13">
        <v>12939</v>
      </c>
      <c r="P11" s="13">
        <f t="shared" si="0"/>
        <v>-11.408644739107974</v>
      </c>
    </row>
    <row r="12" spans="1:16">
      <c r="A12" s="12" t="s">
        <v>28</v>
      </c>
      <c r="B12" s="13">
        <f>200+179</f>
        <v>379</v>
      </c>
      <c r="C12" s="13">
        <f>200+217</f>
        <v>417</v>
      </c>
      <c r="D12" s="13">
        <f>418</f>
        <v>418</v>
      </c>
      <c r="E12" s="13">
        <f>238+243</f>
        <v>481</v>
      </c>
      <c r="F12" s="13">
        <v>609</v>
      </c>
      <c r="G12" s="13">
        <v>429</v>
      </c>
      <c r="H12" s="14">
        <v>592</v>
      </c>
      <c r="I12" s="14">
        <v>574</v>
      </c>
      <c r="J12" s="16">
        <v>368</v>
      </c>
      <c r="K12" s="16">
        <f>189+274</f>
        <v>463</v>
      </c>
      <c r="L12" s="16">
        <f>163+244</f>
        <v>407</v>
      </c>
      <c r="M12" s="14">
        <v>463</v>
      </c>
      <c r="N12" s="22">
        <f t="shared" si="1"/>
        <v>5600</v>
      </c>
      <c r="O12" s="14">
        <v>3431</v>
      </c>
      <c r="P12" s="13">
        <f t="shared" si="0"/>
        <v>38.732142857142854</v>
      </c>
    </row>
    <row r="13" spans="1:16">
      <c r="A13" s="12" t="s">
        <v>54</v>
      </c>
      <c r="B13" s="13">
        <f>336+286</f>
        <v>622</v>
      </c>
      <c r="C13" s="13">
        <f>668</f>
        <v>668</v>
      </c>
      <c r="D13" s="13">
        <v>676</v>
      </c>
      <c r="E13" s="13">
        <v>700</v>
      </c>
      <c r="F13" s="13">
        <v>696</v>
      </c>
      <c r="G13" s="13"/>
      <c r="H13" s="13">
        <v>653</v>
      </c>
      <c r="I13" s="13">
        <v>727</v>
      </c>
      <c r="J13" s="13">
        <v>666</v>
      </c>
      <c r="K13" s="13">
        <v>712</v>
      </c>
      <c r="L13" s="13">
        <f>148+148+217+217</f>
        <v>730</v>
      </c>
      <c r="M13" s="13">
        <f>145+145+223+223</f>
        <v>736</v>
      </c>
      <c r="N13" s="22">
        <f t="shared" si="1"/>
        <v>7586</v>
      </c>
      <c r="O13" s="13">
        <v>7622</v>
      </c>
      <c r="P13" s="13">
        <f t="shared" si="0"/>
        <v>-0.47455839704719222</v>
      </c>
    </row>
    <row r="14" spans="1:16">
      <c r="A14" s="12" t="s">
        <v>32</v>
      </c>
      <c r="B14" s="13">
        <f>70+45</f>
        <v>115</v>
      </c>
      <c r="C14" s="13">
        <f>72+58</f>
        <v>130</v>
      </c>
      <c r="D14" s="13">
        <f>72+56</f>
        <v>128</v>
      </c>
      <c r="E14" s="13">
        <v>108</v>
      </c>
      <c r="F14" s="13">
        <v>147</v>
      </c>
      <c r="G14" s="13">
        <v>131</v>
      </c>
      <c r="H14" s="13">
        <v>155</v>
      </c>
      <c r="I14" s="13">
        <f>106+42</f>
        <v>148</v>
      </c>
      <c r="J14" s="13">
        <v>174</v>
      </c>
      <c r="K14" s="13">
        <f>112+111</f>
        <v>223</v>
      </c>
      <c r="L14" s="13">
        <f>102+54</f>
        <v>156</v>
      </c>
      <c r="M14" s="13">
        <f>106+66</f>
        <v>172</v>
      </c>
      <c r="N14" s="22">
        <f t="shared" si="1"/>
        <v>1787</v>
      </c>
      <c r="O14" s="13">
        <v>1109</v>
      </c>
      <c r="P14" s="13">
        <f t="shared" si="0"/>
        <v>37.940682708449913</v>
      </c>
    </row>
    <row r="15" spans="1:16">
      <c r="A15" s="12" t="s">
        <v>34</v>
      </c>
      <c r="B15" s="13">
        <f>472+55</f>
        <v>527</v>
      </c>
      <c r="C15" s="13">
        <f>480+104</f>
        <v>584</v>
      </c>
      <c r="D15" s="13">
        <f>498+83</f>
        <v>581</v>
      </c>
      <c r="E15" s="13">
        <v>580</v>
      </c>
      <c r="F15" s="13">
        <v>562</v>
      </c>
      <c r="G15" s="13">
        <v>550</v>
      </c>
      <c r="H15" s="13">
        <v>596</v>
      </c>
      <c r="I15" s="13">
        <v>572</v>
      </c>
      <c r="J15" s="13">
        <v>572</v>
      </c>
      <c r="K15" s="13">
        <v>580</v>
      </c>
      <c r="L15" s="13">
        <v>529</v>
      </c>
      <c r="M15" s="13">
        <v>848</v>
      </c>
      <c r="N15" s="22">
        <f t="shared" si="1"/>
        <v>7081</v>
      </c>
      <c r="O15" s="13">
        <v>7330</v>
      </c>
      <c r="P15" s="13">
        <f t="shared" si="0"/>
        <v>-3.5164524784634938</v>
      </c>
    </row>
    <row r="16" spans="1:16">
      <c r="A16" s="12" t="s">
        <v>35</v>
      </c>
      <c r="B16" s="13">
        <f>101+30</f>
        <v>131</v>
      </c>
      <c r="C16" s="13">
        <f>94+3</f>
        <v>97</v>
      </c>
      <c r="D16" s="13">
        <f>94+30</f>
        <v>124</v>
      </c>
      <c r="E16" s="13">
        <f>102+32</f>
        <v>134</v>
      </c>
      <c r="F16" s="13">
        <v>135</v>
      </c>
      <c r="G16" s="13">
        <v>153</v>
      </c>
      <c r="H16" s="13">
        <f>104+73</f>
        <v>177</v>
      </c>
      <c r="I16" s="13">
        <f>115+67</f>
        <v>182</v>
      </c>
      <c r="J16" s="13">
        <f>93+25</f>
        <v>118</v>
      </c>
      <c r="K16" s="13">
        <f>102+50</f>
        <v>152</v>
      </c>
      <c r="L16" s="13">
        <f>77+79</f>
        <v>156</v>
      </c>
      <c r="M16" s="13">
        <v>200</v>
      </c>
      <c r="N16" s="22">
        <f t="shared" si="1"/>
        <v>1759</v>
      </c>
      <c r="O16" s="13">
        <v>1766</v>
      </c>
      <c r="P16" s="13">
        <f t="shared" si="0"/>
        <v>-0.39795338260375213</v>
      </c>
    </row>
    <row r="17" spans="1:16">
      <c r="A17" s="12" t="s">
        <v>37</v>
      </c>
      <c r="B17" s="13">
        <f>90+72</f>
        <v>162</v>
      </c>
      <c r="C17" s="13">
        <v>130</v>
      </c>
      <c r="D17" s="13">
        <f>114+38</f>
        <v>152</v>
      </c>
      <c r="E17" s="13">
        <f>116+28</f>
        <v>144</v>
      </c>
      <c r="F17" s="13">
        <v>160</v>
      </c>
      <c r="G17" s="13">
        <v>172</v>
      </c>
      <c r="H17" s="13">
        <f>116+56</f>
        <v>172</v>
      </c>
      <c r="I17" s="13">
        <v>134</v>
      </c>
      <c r="J17" s="13">
        <v>141</v>
      </c>
      <c r="K17" s="13">
        <v>94</v>
      </c>
      <c r="L17" s="13">
        <v>78</v>
      </c>
      <c r="M17" s="13">
        <f>56+52</f>
        <v>108</v>
      </c>
      <c r="N17" s="22">
        <f t="shared" si="1"/>
        <v>1647</v>
      </c>
      <c r="O17" s="13">
        <v>1124</v>
      </c>
      <c r="P17" s="13">
        <f t="shared" si="0"/>
        <v>31.754705525197327</v>
      </c>
    </row>
    <row r="18" spans="1:16">
      <c r="A18" s="12" t="s">
        <v>38</v>
      </c>
      <c r="B18" s="13">
        <f>360+40</f>
        <v>400</v>
      </c>
      <c r="C18" s="13">
        <f>434+40</f>
        <v>474</v>
      </c>
      <c r="D18" s="13">
        <f>472+98</f>
        <v>570</v>
      </c>
      <c r="E18" s="13">
        <v>558</v>
      </c>
      <c r="F18" s="13">
        <v>518</v>
      </c>
      <c r="G18" s="13">
        <v>508</v>
      </c>
      <c r="H18" s="13">
        <v>602</v>
      </c>
      <c r="I18" s="13">
        <v>604</v>
      </c>
      <c r="J18" s="13" t="s">
        <v>95</v>
      </c>
      <c r="K18" s="13">
        <v>630</v>
      </c>
      <c r="L18" s="13">
        <f>272+272</f>
        <v>544</v>
      </c>
      <c r="M18" s="13">
        <v>620</v>
      </c>
      <c r="N18" s="22">
        <f t="shared" si="1"/>
        <v>6028</v>
      </c>
      <c r="O18" s="13">
        <v>4362</v>
      </c>
      <c r="P18" s="13">
        <f t="shared" si="0"/>
        <v>27.637690776376907</v>
      </c>
    </row>
    <row r="19" spans="1:16">
      <c r="A19" s="12" t="s">
        <v>39</v>
      </c>
      <c r="B19" s="13">
        <f>72+69</f>
        <v>141</v>
      </c>
      <c r="C19" s="13">
        <f>168+26</f>
        <v>194</v>
      </c>
      <c r="D19" s="13">
        <f>162+110</f>
        <v>272</v>
      </c>
      <c r="E19" s="13">
        <f>168+64</f>
        <v>232</v>
      </c>
      <c r="F19" s="13">
        <v>176</v>
      </c>
      <c r="G19" s="13">
        <v>229</v>
      </c>
      <c r="H19" s="13">
        <v>137</v>
      </c>
      <c r="I19" s="13">
        <v>151</v>
      </c>
      <c r="J19" s="13">
        <f>81+80</f>
        <v>161</v>
      </c>
      <c r="K19" s="13">
        <v>178</v>
      </c>
      <c r="L19" s="13">
        <v>190</v>
      </c>
      <c r="M19" s="13">
        <f>118+98</f>
        <v>216</v>
      </c>
      <c r="N19" s="22">
        <f t="shared" si="1"/>
        <v>2277</v>
      </c>
      <c r="O19" s="13">
        <v>1866</v>
      </c>
      <c r="P19" s="13">
        <f t="shared" si="0"/>
        <v>18.050065876152832</v>
      </c>
    </row>
    <row r="20" spans="1:16">
      <c r="A20" s="12" t="s">
        <v>41</v>
      </c>
      <c r="B20" s="13">
        <f>148+98</f>
        <v>246</v>
      </c>
      <c r="C20" s="13">
        <v>212</v>
      </c>
      <c r="D20" s="13">
        <v>280</v>
      </c>
      <c r="E20" s="13">
        <f>156+58</f>
        <v>214</v>
      </c>
      <c r="F20" s="13">
        <v>310</v>
      </c>
      <c r="G20" s="13">
        <v>222</v>
      </c>
      <c r="H20" s="13">
        <v>183</v>
      </c>
      <c r="I20" s="13">
        <v>250</v>
      </c>
      <c r="J20" s="13">
        <v>276</v>
      </c>
      <c r="K20" s="13">
        <v>310</v>
      </c>
      <c r="L20" s="13">
        <v>214</v>
      </c>
      <c r="M20" s="13">
        <v>238</v>
      </c>
      <c r="N20" s="22">
        <f t="shared" si="1"/>
        <v>2955</v>
      </c>
      <c r="O20" s="13">
        <v>2976</v>
      </c>
      <c r="P20" s="13">
        <f t="shared" si="0"/>
        <v>-0.71065989847715738</v>
      </c>
    </row>
    <row r="21" spans="1:16">
      <c r="A21" s="12" t="s">
        <v>43</v>
      </c>
      <c r="B21" s="13">
        <f>172+56</f>
        <v>228</v>
      </c>
      <c r="C21" s="13"/>
      <c r="D21" s="13">
        <v>242</v>
      </c>
      <c r="E21" s="13">
        <f>176+30</f>
        <v>206</v>
      </c>
      <c r="F21" s="13">
        <v>228</v>
      </c>
      <c r="G21" s="13">
        <v>228</v>
      </c>
      <c r="H21" s="13">
        <v>113</v>
      </c>
      <c r="I21" s="13">
        <v>244</v>
      </c>
      <c r="J21" s="13">
        <v>256</v>
      </c>
      <c r="K21" s="13">
        <v>232</v>
      </c>
      <c r="L21" s="13">
        <v>298</v>
      </c>
      <c r="M21" s="13">
        <v>292</v>
      </c>
      <c r="N21" s="22">
        <f t="shared" si="1"/>
        <v>2567</v>
      </c>
      <c r="O21" s="13">
        <v>1258</v>
      </c>
      <c r="P21" s="13">
        <f t="shared" si="0"/>
        <v>50.993377483443709</v>
      </c>
    </row>
    <row r="22" spans="1:16">
      <c r="A22" s="12" t="s">
        <v>44</v>
      </c>
      <c r="B22" s="13">
        <f>28+88</f>
        <v>116</v>
      </c>
      <c r="C22" s="13">
        <v>34</v>
      </c>
      <c r="D22" s="13">
        <v>90</v>
      </c>
      <c r="E22" s="13">
        <f>22+64</f>
        <v>86</v>
      </c>
      <c r="F22" s="13">
        <v>96</v>
      </c>
      <c r="G22" s="13">
        <v>58</v>
      </c>
      <c r="H22" s="13">
        <v>32</v>
      </c>
      <c r="I22" s="9">
        <v>18</v>
      </c>
      <c r="J22" s="13">
        <v>56</v>
      </c>
      <c r="K22" s="13">
        <v>48</v>
      </c>
      <c r="L22" s="13">
        <v>30</v>
      </c>
      <c r="M22" s="13">
        <v>38</v>
      </c>
      <c r="N22" s="22">
        <f t="shared" si="1"/>
        <v>702</v>
      </c>
      <c r="O22" s="13">
        <v>574</v>
      </c>
      <c r="P22" s="13">
        <f t="shared" si="0"/>
        <v>18.233618233618234</v>
      </c>
    </row>
    <row r="23" spans="1:16">
      <c r="A23" s="12" t="s">
        <v>46</v>
      </c>
      <c r="B23" s="13"/>
      <c r="C23" s="13">
        <v>60</v>
      </c>
      <c r="D23" s="13">
        <v>58</v>
      </c>
      <c r="E23" s="13"/>
      <c r="F23" s="13">
        <v>42</v>
      </c>
      <c r="G23" s="13"/>
      <c r="H23" s="13">
        <v>58</v>
      </c>
      <c r="I23" s="13"/>
      <c r="J23" s="13"/>
      <c r="K23" s="13">
        <v>60</v>
      </c>
      <c r="L23" s="13">
        <v>58</v>
      </c>
      <c r="M23" s="13">
        <v>88</v>
      </c>
      <c r="N23" s="22">
        <f t="shared" si="1"/>
        <v>424</v>
      </c>
      <c r="O23" s="13">
        <v>974</v>
      </c>
      <c r="P23" s="13">
        <f t="shared" si="0"/>
        <v>-129.71698113207546</v>
      </c>
    </row>
    <row r="24" spans="1:16">
      <c r="A24" s="12" t="s">
        <v>47</v>
      </c>
      <c r="B24" s="13">
        <v>24</v>
      </c>
      <c r="C24" s="13">
        <v>24</v>
      </c>
      <c r="D24" s="13">
        <v>60</v>
      </c>
      <c r="E24" s="13">
        <v>44</v>
      </c>
      <c r="F24" s="13">
        <v>292</v>
      </c>
      <c r="G24" s="13">
        <v>82</v>
      </c>
      <c r="H24" s="13">
        <v>68</v>
      </c>
      <c r="I24" s="13">
        <v>62</v>
      </c>
      <c r="J24" s="13">
        <v>64</v>
      </c>
      <c r="K24" s="13"/>
      <c r="L24" s="13"/>
      <c r="M24" s="13">
        <f>34+34</f>
        <v>68</v>
      </c>
      <c r="N24" s="22">
        <f t="shared" si="1"/>
        <v>788</v>
      </c>
      <c r="O24" s="13">
        <v>692</v>
      </c>
      <c r="P24" s="13">
        <f t="shared" si="0"/>
        <v>12.182741116751268</v>
      </c>
    </row>
    <row r="25" spans="1:16">
      <c r="A25" s="12" t="s">
        <v>49</v>
      </c>
      <c r="B25" s="14">
        <v>0</v>
      </c>
      <c r="C25" s="14">
        <v>0</v>
      </c>
      <c r="D25" s="13">
        <v>22</v>
      </c>
      <c r="E25" s="13">
        <v>88</v>
      </c>
      <c r="F25" s="13">
        <v>46</v>
      </c>
      <c r="G25" s="13">
        <v>26</v>
      </c>
      <c r="H25" s="13">
        <v>16</v>
      </c>
      <c r="I25" s="13">
        <v>22</v>
      </c>
      <c r="J25" s="13">
        <v>2</v>
      </c>
      <c r="K25" s="13">
        <v>22</v>
      </c>
      <c r="L25" s="13">
        <v>22</v>
      </c>
      <c r="M25" s="14">
        <v>70</v>
      </c>
      <c r="N25" s="22">
        <f t="shared" si="1"/>
        <v>336</v>
      </c>
      <c r="O25" s="13">
        <v>660</v>
      </c>
      <c r="P25" s="13">
        <f t="shared" si="0"/>
        <v>-96.428571428571431</v>
      </c>
    </row>
    <row r="26" spans="1:16">
      <c r="A26" s="12" t="s">
        <v>50</v>
      </c>
      <c r="B26" s="5">
        <f t="shared" ref="B26:N26" si="2">SUM(B6:B25)</f>
        <v>15339</v>
      </c>
      <c r="C26" s="5">
        <f t="shared" si="2"/>
        <v>14290</v>
      </c>
      <c r="D26" s="5">
        <f t="shared" si="2"/>
        <v>16402</v>
      </c>
      <c r="E26" s="5">
        <f t="shared" si="2"/>
        <v>16834</v>
      </c>
      <c r="F26" s="5">
        <f t="shared" si="2"/>
        <v>17812</v>
      </c>
      <c r="G26" s="5">
        <f t="shared" si="2"/>
        <v>16420</v>
      </c>
      <c r="H26" s="5">
        <f t="shared" si="2"/>
        <v>17531</v>
      </c>
      <c r="I26" s="5">
        <f t="shared" si="2"/>
        <v>17972</v>
      </c>
      <c r="J26" s="5">
        <f t="shared" si="2"/>
        <v>16655</v>
      </c>
      <c r="K26" s="5">
        <f t="shared" si="2"/>
        <v>17929</v>
      </c>
      <c r="L26" s="5">
        <f t="shared" si="2"/>
        <v>16703</v>
      </c>
      <c r="M26" s="5">
        <f t="shared" si="2"/>
        <v>19823</v>
      </c>
      <c r="N26" s="23">
        <f t="shared" si="2"/>
        <v>203710</v>
      </c>
      <c r="O26" s="5">
        <v>221272</v>
      </c>
      <c r="P26" s="5">
        <f t="shared" si="0"/>
        <v>-8.621078984831378</v>
      </c>
    </row>
    <row r="30" spans="1:16">
      <c r="K30" s="84"/>
    </row>
  </sheetData>
  <mergeCells count="4">
    <mergeCell ref="A1:P1"/>
    <mergeCell ref="A2:P2"/>
    <mergeCell ref="A3:P3"/>
    <mergeCell ref="A4:P4"/>
  </mergeCells>
  <pageMargins left="0.7" right="0.7" top="0.75" bottom="0.75" header="0.3" footer="0.3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25"/>
  <sheetViews>
    <sheetView topLeftCell="A2" workbookViewId="0">
      <selection activeCell="M28" sqref="M28"/>
    </sheetView>
  </sheetViews>
  <sheetFormatPr defaultRowHeight="15"/>
  <cols>
    <col min="1" max="1" width="11.85546875" customWidth="1"/>
  </cols>
  <sheetData>
    <row r="1" spans="1:16" ht="18.7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 ht="18.7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16" ht="18.75">
      <c r="A3" s="99" t="s">
        <v>99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6" ht="18.75">
      <c r="A4" s="100" t="s">
        <v>62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">
      <c r="A5" s="12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2" t="s">
        <v>12</v>
      </c>
      <c r="K5" s="12" t="s">
        <v>13</v>
      </c>
      <c r="L5" s="12" t="s">
        <v>14</v>
      </c>
      <c r="M5" s="12" t="s">
        <v>15</v>
      </c>
      <c r="N5" s="12" t="s">
        <v>16</v>
      </c>
      <c r="O5" s="12" t="s">
        <v>63</v>
      </c>
      <c r="P5" s="12" t="s">
        <v>17</v>
      </c>
    </row>
    <row r="6" spans="1:16">
      <c r="A6" s="12" t="s">
        <v>19</v>
      </c>
      <c r="B6" s="13">
        <f>1632+14+390</f>
        <v>2036</v>
      </c>
      <c r="C6" s="13">
        <f>1470+106+366</f>
        <v>1942</v>
      </c>
      <c r="D6" s="13">
        <f>1737+36+438</f>
        <v>2211</v>
      </c>
      <c r="E6" s="13">
        <f>1709+105+174</f>
        <v>1988</v>
      </c>
      <c r="F6" s="13">
        <v>1870</v>
      </c>
      <c r="G6" s="13">
        <f>1667+93+452</f>
        <v>2212</v>
      </c>
      <c r="H6" s="13">
        <f>1768+50+420</f>
        <v>2238</v>
      </c>
      <c r="I6" s="13">
        <f>1698+48+422</f>
        <v>2168</v>
      </c>
      <c r="J6" s="13">
        <f>1649+56+440</f>
        <v>2145</v>
      </c>
      <c r="K6" s="13">
        <v>2011</v>
      </c>
      <c r="L6" s="13">
        <f>1550+93+198</f>
        <v>1841</v>
      </c>
      <c r="M6" s="13">
        <f>1718+97+450</f>
        <v>2265</v>
      </c>
      <c r="N6" s="22">
        <f>SUM(B6:M6)</f>
        <v>24927</v>
      </c>
      <c r="O6" s="13">
        <v>24712</v>
      </c>
      <c r="P6" s="13">
        <f t="shared" ref="P6:P18" si="0">(N6-O6)*100/N6</f>
        <v>0.86251855417820034</v>
      </c>
    </row>
    <row r="7" spans="1:16">
      <c r="A7" s="12" t="s">
        <v>53</v>
      </c>
      <c r="B7" s="13">
        <f>326+144</f>
        <v>470</v>
      </c>
      <c r="C7" s="13">
        <f>284+224</f>
        <v>508</v>
      </c>
      <c r="D7" s="13">
        <f>328+122</f>
        <v>450</v>
      </c>
      <c r="E7" s="13">
        <f>312+138</f>
        <v>450</v>
      </c>
      <c r="F7" s="13">
        <v>606</v>
      </c>
      <c r="G7" s="13">
        <f>350+206</f>
        <v>556</v>
      </c>
      <c r="H7" s="13">
        <f>422+174</f>
        <v>596</v>
      </c>
      <c r="I7" s="13">
        <f>358+228</f>
        <v>586</v>
      </c>
      <c r="J7" s="13">
        <f>363+363</f>
        <v>726</v>
      </c>
      <c r="K7" s="13">
        <f>327+327</f>
        <v>654</v>
      </c>
      <c r="L7" s="13">
        <f>424+424</f>
        <v>848</v>
      </c>
      <c r="M7" s="13">
        <f>360+244</f>
        <v>604</v>
      </c>
      <c r="N7" s="22">
        <f>SUM(B7:M7)</f>
        <v>7054</v>
      </c>
      <c r="O7" s="13">
        <v>4400</v>
      </c>
      <c r="P7" s="13">
        <f t="shared" si="0"/>
        <v>37.624043096115678</v>
      </c>
    </row>
    <row r="8" spans="1:16">
      <c r="A8" s="12" t="s">
        <v>23</v>
      </c>
      <c r="B8" s="14">
        <f>24+19</f>
        <v>43</v>
      </c>
      <c r="C8" s="14">
        <f>28+17</f>
        <v>45</v>
      </c>
      <c r="D8" s="14">
        <f>24+19</f>
        <v>43</v>
      </c>
      <c r="E8" s="14">
        <v>44</v>
      </c>
      <c r="F8" s="13">
        <v>48</v>
      </c>
      <c r="G8" s="13">
        <f>28+22</f>
        <v>50</v>
      </c>
      <c r="H8" s="13">
        <v>99</v>
      </c>
      <c r="I8" s="13">
        <f>24+25</f>
        <v>49</v>
      </c>
      <c r="J8" s="13">
        <f>35+18</f>
        <v>53</v>
      </c>
      <c r="K8" s="13">
        <v>132</v>
      </c>
      <c r="L8" s="13">
        <f>47+21+77</f>
        <v>145</v>
      </c>
      <c r="M8" s="13">
        <f>12+37</f>
        <v>49</v>
      </c>
      <c r="N8" s="24">
        <f>SUM(B8:M8)</f>
        <v>800</v>
      </c>
      <c r="O8" s="13">
        <v>1025</v>
      </c>
      <c r="P8" s="13">
        <f t="shared" si="0"/>
        <v>-28.125</v>
      </c>
    </row>
    <row r="9" spans="1:16">
      <c r="A9" s="12" t="s">
        <v>25</v>
      </c>
      <c r="B9" s="13">
        <v>139</v>
      </c>
      <c r="C9" s="13">
        <f>106+8+7</f>
        <v>121</v>
      </c>
      <c r="D9" s="13">
        <v>125</v>
      </c>
      <c r="E9" s="13">
        <f>105+18+8</f>
        <v>131</v>
      </c>
      <c r="F9" s="13">
        <v>151</v>
      </c>
      <c r="G9" s="13">
        <v>155</v>
      </c>
      <c r="H9" s="13">
        <v>28</v>
      </c>
      <c r="I9" s="13">
        <f>161+32+14</f>
        <v>207</v>
      </c>
      <c r="J9" s="13">
        <f>196+14+12</f>
        <v>222</v>
      </c>
      <c r="K9" s="13">
        <v>169</v>
      </c>
      <c r="L9" s="13">
        <f>170+21+14</f>
        <v>205</v>
      </c>
      <c r="M9" s="13">
        <f>159+9</f>
        <v>168</v>
      </c>
      <c r="N9" s="22">
        <f>SUM(B9:M9)</f>
        <v>1821</v>
      </c>
      <c r="O9" s="13">
        <v>1971</v>
      </c>
      <c r="P9" s="13">
        <f t="shared" si="0"/>
        <v>-8.2372322899505761</v>
      </c>
    </row>
    <row r="10" spans="1:16">
      <c r="A10" s="12" t="s">
        <v>29</v>
      </c>
      <c r="B10" s="14">
        <v>0</v>
      </c>
      <c r="C10" s="14">
        <v>0</v>
      </c>
      <c r="D10" s="14">
        <v>0</v>
      </c>
      <c r="E10" s="16">
        <v>0</v>
      </c>
      <c r="F10" s="16">
        <v>0</v>
      </c>
      <c r="G10" s="14">
        <v>0</v>
      </c>
      <c r="H10" s="16">
        <v>0</v>
      </c>
      <c r="I10" s="16">
        <v>0</v>
      </c>
      <c r="J10" s="7">
        <v>4</v>
      </c>
      <c r="K10" s="7">
        <v>22</v>
      </c>
      <c r="L10" s="8">
        <v>10</v>
      </c>
      <c r="M10" s="16">
        <v>0</v>
      </c>
      <c r="N10" s="22">
        <f t="shared" ref="N10:N17" si="1">SUM(B10:M10)</f>
        <v>36</v>
      </c>
      <c r="O10" s="16">
        <v>25</v>
      </c>
      <c r="P10" s="13">
        <f t="shared" si="0"/>
        <v>30.555555555555557</v>
      </c>
    </row>
    <row r="11" spans="1:16">
      <c r="A11" s="12" t="s">
        <v>55</v>
      </c>
      <c r="B11" s="13">
        <v>6</v>
      </c>
      <c r="C11" s="13">
        <v>4</v>
      </c>
      <c r="D11" s="14">
        <v>2</v>
      </c>
      <c r="E11" s="14">
        <v>2</v>
      </c>
      <c r="F11" s="13">
        <v>6</v>
      </c>
      <c r="G11" s="13"/>
      <c r="H11" s="14">
        <v>0</v>
      </c>
      <c r="I11" s="14">
        <v>0</v>
      </c>
      <c r="J11" s="16">
        <v>0</v>
      </c>
      <c r="K11" s="16">
        <v>0</v>
      </c>
      <c r="L11" s="16">
        <v>0</v>
      </c>
      <c r="M11" s="16">
        <v>2</v>
      </c>
      <c r="N11" s="21">
        <f t="shared" si="1"/>
        <v>22</v>
      </c>
      <c r="O11" s="13">
        <v>35</v>
      </c>
      <c r="P11" s="13">
        <f t="shared" si="0"/>
        <v>-59.090909090909093</v>
      </c>
    </row>
    <row r="12" spans="1:16">
      <c r="A12" s="12" t="s">
        <v>33</v>
      </c>
      <c r="B12" s="14">
        <f>0</f>
        <v>0</v>
      </c>
      <c r="C12" s="14">
        <v>0</v>
      </c>
      <c r="D12" s="14">
        <v>0</v>
      </c>
      <c r="E12" s="14">
        <v>0</v>
      </c>
      <c r="F12" s="16">
        <v>0</v>
      </c>
      <c r="G12" s="16">
        <v>0</v>
      </c>
      <c r="H12" s="14">
        <v>0</v>
      </c>
      <c r="I12" s="14">
        <v>5</v>
      </c>
      <c r="J12" s="14">
        <v>0</v>
      </c>
      <c r="K12" s="13">
        <v>57</v>
      </c>
      <c r="L12" s="13">
        <v>29</v>
      </c>
      <c r="M12" s="13">
        <v>35</v>
      </c>
      <c r="N12" s="22">
        <f t="shared" si="1"/>
        <v>126</v>
      </c>
      <c r="O12" s="13">
        <v>177</v>
      </c>
      <c r="P12" s="13">
        <f t="shared" si="0"/>
        <v>-40.476190476190474</v>
      </c>
    </row>
    <row r="13" spans="1:16">
      <c r="A13" s="12" t="s">
        <v>36</v>
      </c>
      <c r="B13" s="13">
        <v>4</v>
      </c>
      <c r="C13" s="14">
        <v>34</v>
      </c>
      <c r="D13" s="13">
        <v>11</v>
      </c>
      <c r="E13" s="13">
        <v>4</v>
      </c>
      <c r="F13" s="13">
        <v>4</v>
      </c>
      <c r="G13" s="14">
        <v>0</v>
      </c>
      <c r="H13" s="13">
        <v>13</v>
      </c>
      <c r="I13" s="13">
        <f>14+18</f>
        <v>32</v>
      </c>
      <c r="J13" s="13">
        <f>14+11</f>
        <v>25</v>
      </c>
      <c r="K13" s="13">
        <v>50</v>
      </c>
      <c r="L13" s="13">
        <f>12+14</f>
        <v>26</v>
      </c>
      <c r="M13" s="13">
        <v>31</v>
      </c>
      <c r="N13" s="22">
        <f t="shared" si="1"/>
        <v>234</v>
      </c>
      <c r="O13" s="13">
        <v>130</v>
      </c>
      <c r="P13" s="13">
        <f t="shared" si="0"/>
        <v>44.444444444444443</v>
      </c>
    </row>
    <row r="14" spans="1:16">
      <c r="A14" s="12" t="s">
        <v>40</v>
      </c>
      <c r="B14" s="13">
        <v>1</v>
      </c>
      <c r="C14" s="14">
        <v>0</v>
      </c>
      <c r="D14" s="14">
        <v>0</v>
      </c>
      <c r="E14" s="14">
        <v>0</v>
      </c>
      <c r="F14" s="16">
        <v>0</v>
      </c>
      <c r="G14" s="16">
        <v>0</v>
      </c>
      <c r="H14" s="14">
        <v>0</v>
      </c>
      <c r="I14" s="14">
        <v>2</v>
      </c>
      <c r="J14" s="14">
        <v>2</v>
      </c>
      <c r="K14" s="13">
        <v>20</v>
      </c>
      <c r="L14" s="13">
        <v>28</v>
      </c>
      <c r="M14" s="13">
        <v>12</v>
      </c>
      <c r="N14" s="22">
        <f t="shared" si="1"/>
        <v>65</v>
      </c>
      <c r="O14" s="13">
        <v>86</v>
      </c>
      <c r="P14" s="13">
        <f t="shared" si="0"/>
        <v>-32.307692307692307</v>
      </c>
    </row>
    <row r="15" spans="1:16">
      <c r="A15" s="12" t="s">
        <v>42</v>
      </c>
      <c r="B15" s="14">
        <v>0</v>
      </c>
      <c r="C15" s="14">
        <v>2</v>
      </c>
      <c r="D15" s="14">
        <v>0</v>
      </c>
      <c r="E15" s="16">
        <v>2</v>
      </c>
      <c r="F15" s="16">
        <v>0</v>
      </c>
      <c r="G15" s="16">
        <v>0</v>
      </c>
      <c r="H15" s="16">
        <v>0</v>
      </c>
      <c r="I15" s="16">
        <v>13</v>
      </c>
      <c r="J15" s="16">
        <v>0</v>
      </c>
      <c r="K15" s="16">
        <v>24</v>
      </c>
      <c r="L15" s="16">
        <f>17+17</f>
        <v>34</v>
      </c>
      <c r="M15" s="16">
        <v>18</v>
      </c>
      <c r="N15" s="24">
        <f t="shared" si="1"/>
        <v>93</v>
      </c>
      <c r="O15" s="16">
        <v>28</v>
      </c>
      <c r="P15" s="14">
        <v>0</v>
      </c>
    </row>
    <row r="16" spans="1:16">
      <c r="A16" s="12" t="s">
        <v>45</v>
      </c>
      <c r="B16" s="14">
        <f>0</f>
        <v>0</v>
      </c>
      <c r="C16" s="14">
        <v>0</v>
      </c>
      <c r="D16" s="14">
        <v>0</v>
      </c>
      <c r="E16" s="14">
        <v>0</v>
      </c>
      <c r="F16" s="16">
        <v>0</v>
      </c>
      <c r="G16" s="16">
        <v>0</v>
      </c>
      <c r="H16" s="16"/>
      <c r="I16" s="14">
        <v>0</v>
      </c>
      <c r="J16" s="14">
        <v>0</v>
      </c>
      <c r="K16" s="14">
        <v>18</v>
      </c>
      <c r="L16" s="14">
        <v>8</v>
      </c>
      <c r="M16" s="14">
        <v>10</v>
      </c>
      <c r="N16" s="24">
        <f>SUM(K16:M16)</f>
        <v>36</v>
      </c>
      <c r="O16" s="14">
        <v>0</v>
      </c>
      <c r="P16" s="13">
        <f t="shared" si="0"/>
        <v>100</v>
      </c>
    </row>
    <row r="17" spans="1:16">
      <c r="A17" s="12" t="s">
        <v>48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/>
      <c r="L17" s="13"/>
      <c r="M17" s="13"/>
      <c r="N17" s="24">
        <f t="shared" si="1"/>
        <v>0</v>
      </c>
      <c r="O17" s="13">
        <v>34</v>
      </c>
      <c r="P17" s="14">
        <v>0</v>
      </c>
    </row>
    <row r="18" spans="1:16">
      <c r="A18" s="12" t="s">
        <v>50</v>
      </c>
      <c r="B18" s="5">
        <f t="shared" ref="B18:N18" si="2">SUM(B6:B17)</f>
        <v>2699</v>
      </c>
      <c r="C18" s="5">
        <f t="shared" si="2"/>
        <v>2656</v>
      </c>
      <c r="D18" s="5">
        <f t="shared" si="2"/>
        <v>2842</v>
      </c>
      <c r="E18" s="5">
        <f t="shared" si="2"/>
        <v>2621</v>
      </c>
      <c r="F18" s="5">
        <f t="shared" si="2"/>
        <v>2685</v>
      </c>
      <c r="G18" s="5">
        <f t="shared" si="2"/>
        <v>2973</v>
      </c>
      <c r="H18" s="5">
        <f t="shared" si="2"/>
        <v>2974</v>
      </c>
      <c r="I18" s="5">
        <f t="shared" si="2"/>
        <v>3062</v>
      </c>
      <c r="J18" s="5">
        <f t="shared" si="2"/>
        <v>3177</v>
      </c>
      <c r="K18" s="5">
        <f t="shared" si="2"/>
        <v>3157</v>
      </c>
      <c r="L18" s="5">
        <f t="shared" si="2"/>
        <v>3174</v>
      </c>
      <c r="M18" s="5">
        <f t="shared" si="2"/>
        <v>3194</v>
      </c>
      <c r="N18" s="23">
        <f t="shared" si="2"/>
        <v>35214</v>
      </c>
      <c r="O18" s="5">
        <v>221272</v>
      </c>
      <c r="P18" s="5">
        <f t="shared" si="0"/>
        <v>-528.36371897540755</v>
      </c>
    </row>
    <row r="25" spans="1:16">
      <c r="F25" s="84">
        <f>N18-N6-N7-N8-N9</f>
        <v>612</v>
      </c>
    </row>
  </sheetData>
  <mergeCells count="4">
    <mergeCell ref="A1:P1"/>
    <mergeCell ref="A2:P2"/>
    <mergeCell ref="A3:P3"/>
    <mergeCell ref="A4:P4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Sheet4!Print_Area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HP Authorized Customer</cp:lastModifiedBy>
  <cp:lastPrinted>2012-01-25T13:49:44Z</cp:lastPrinted>
  <dcterms:created xsi:type="dcterms:W3CDTF">2010-12-02T07:55:08Z</dcterms:created>
  <dcterms:modified xsi:type="dcterms:W3CDTF">2012-05-14T11:27:52Z</dcterms:modified>
</cp:coreProperties>
</file>